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00" yWindow="-15" windowWidth="9615" windowHeight="7185" tabRatio="607" activeTab="1"/>
  </bookViews>
  <sheets>
    <sheet name="Paket PRIM 2019" sheetId="65" r:id="rId1"/>
    <sheet name="Realisasi " sheetId="66" r:id="rId2"/>
    <sheet name="Real UM&amp;MC (per-bulan) " sheetId="67" r:id="rId3"/>
    <sheet name="Sheet3" sheetId="64" r:id="rId4"/>
    <sheet name="Sheet1" sheetId="43" r:id="rId5"/>
    <sheet name="Sheet2" sheetId="53" r:id="rId6"/>
  </sheets>
  <externalReferences>
    <externalReference r:id="rId7"/>
  </externalReferences>
  <definedNames>
    <definedName name="_xlnm.Print_Area" localSheetId="0">'Paket PRIM 2019'!$A$1:$Q$35</definedName>
    <definedName name="_xlnm.Print_Area" localSheetId="2">'Real UM&amp;MC (per-bulan) '!$A$1:$V$43</definedName>
    <definedName name="_xlnm.Print_Area" localSheetId="1">'Realisasi '!$A$1:$Y$35</definedName>
    <definedName name="_xlnm.Print_Titles" localSheetId="0">'Paket PRIM 2019'!$8:$10</definedName>
    <definedName name="_xlnm.Print_Titles" localSheetId="2">'Real UM&amp;MC (per-bulan) '!$7:$10</definedName>
    <definedName name="_xlnm.Print_Titles" localSheetId="1">'Realisasi '!$6:$9</definedName>
  </definedNames>
  <calcPr calcId="144525"/>
</workbook>
</file>

<file path=xl/calcChain.xml><?xml version="1.0" encoding="utf-8"?>
<calcChain xmlns="http://schemas.openxmlformats.org/spreadsheetml/2006/main">
  <c r="E16" i="65" l="1"/>
  <c r="E13" i="66" s="1"/>
  <c r="F25" i="66"/>
  <c r="E25" i="66"/>
  <c r="F22" i="66"/>
  <c r="E22" i="66"/>
  <c r="F19" i="66"/>
  <c r="E19" i="66"/>
  <c r="F16" i="66"/>
  <c r="E16" i="66"/>
  <c r="F13" i="66"/>
  <c r="H25" i="66"/>
  <c r="H22" i="66"/>
  <c r="H19" i="66"/>
  <c r="H16" i="66"/>
  <c r="H13" i="66"/>
  <c r="I32" i="65"/>
  <c r="I28" i="65"/>
  <c r="I24" i="65"/>
  <c r="I20" i="65"/>
  <c r="G32" i="65"/>
  <c r="G28" i="65"/>
  <c r="G24" i="65"/>
  <c r="G20" i="65"/>
  <c r="I16" i="65"/>
  <c r="G16" i="65"/>
  <c r="M45" i="67" l="1"/>
  <c r="L47" i="67"/>
  <c r="L46" i="67"/>
  <c r="L45" i="67"/>
  <c r="J59" i="67" l="1"/>
  <c r="L20" i="67"/>
  <c r="G42" i="66"/>
  <c r="D41" i="66"/>
  <c r="W16" i="66" l="1"/>
  <c r="J35" i="67" l="1"/>
  <c r="K35" i="67"/>
  <c r="D47" i="66" l="1"/>
  <c r="D43" i="66"/>
  <c r="D48" i="66" l="1"/>
  <c r="D49" i="66" s="1"/>
  <c r="H46" i="67" l="1"/>
  <c r="H36" i="67" l="1"/>
  <c r="F30" i="66" l="1"/>
  <c r="F35" i="67" l="1"/>
  <c r="AI27" i="66" l="1"/>
  <c r="AD27" i="66"/>
  <c r="AB27" i="66"/>
  <c r="Z27" i="66"/>
  <c r="AI26" i="66"/>
  <c r="AD26" i="66"/>
  <c r="AE26" i="66" s="1"/>
  <c r="AB26" i="66"/>
  <c r="Z26" i="66"/>
  <c r="AI24" i="66"/>
  <c r="AD24" i="66"/>
  <c r="AE24" i="66" s="1"/>
  <c r="AF24" i="66" s="1"/>
  <c r="AB24" i="66"/>
  <c r="Z24" i="66"/>
  <c r="AI23" i="66"/>
  <c r="AD23" i="66"/>
  <c r="AE23" i="66" s="1"/>
  <c r="AF23" i="66" s="1"/>
  <c r="AB23" i="66"/>
  <c r="Z23" i="66"/>
  <c r="AI21" i="66"/>
  <c r="AD21" i="66"/>
  <c r="AE21" i="66" s="1"/>
  <c r="AF21" i="66" s="1"/>
  <c r="AB21" i="66"/>
  <c r="Z21" i="66"/>
  <c r="AI20" i="66"/>
  <c r="AD20" i="66"/>
  <c r="AB20" i="66"/>
  <c r="Z20" i="66"/>
  <c r="AI18" i="66"/>
  <c r="AD18" i="66"/>
  <c r="AE18" i="66" s="1"/>
  <c r="AF18" i="66" s="1"/>
  <c r="AB18" i="66"/>
  <c r="Z18" i="66"/>
  <c r="AI17" i="66"/>
  <c r="AD17" i="66"/>
  <c r="AE17" i="66" s="1"/>
  <c r="AF17" i="66" s="1"/>
  <c r="AB17" i="66"/>
  <c r="Z17" i="66"/>
  <c r="AE20" i="66" l="1"/>
  <c r="AF20" i="66" s="1"/>
  <c r="AE27" i="66"/>
  <c r="AF27" i="66" s="1"/>
  <c r="AF26" i="66"/>
  <c r="C32" i="66" l="1"/>
  <c r="W25" i="66"/>
  <c r="S25" i="66"/>
  <c r="R25" i="66"/>
  <c r="O25" i="66"/>
  <c r="N25" i="66"/>
  <c r="K25" i="66"/>
  <c r="AB25" i="66"/>
  <c r="G25" i="66"/>
  <c r="D25" i="66"/>
  <c r="C25" i="66"/>
  <c r="W22" i="66"/>
  <c r="S22" i="66"/>
  <c r="R22" i="66"/>
  <c r="O22" i="66"/>
  <c r="P22" i="66" s="1"/>
  <c r="N22" i="66"/>
  <c r="K22" i="66"/>
  <c r="Z22" i="66"/>
  <c r="G22" i="66"/>
  <c r="D22" i="66"/>
  <c r="C22" i="66"/>
  <c r="I34" i="65"/>
  <c r="H34" i="65"/>
  <c r="F34" i="65"/>
  <c r="E34" i="65"/>
  <c r="T35" i="67"/>
  <c r="I32" i="66" s="1"/>
  <c r="S35" i="67"/>
  <c r="AI25" i="66" l="1"/>
  <c r="AD25" i="66"/>
  <c r="AE25" i="66" s="1"/>
  <c r="AF25" i="66" s="1"/>
  <c r="AH25" i="66" s="1"/>
  <c r="U35" i="67"/>
  <c r="G32" i="66"/>
  <c r="AI22" i="66"/>
  <c r="AD22" i="66"/>
  <c r="AE22" i="66" s="1"/>
  <c r="AF22" i="66" s="1"/>
  <c r="AH22" i="66" s="1"/>
  <c r="W32" i="66"/>
  <c r="T25" i="66"/>
  <c r="T22" i="66"/>
  <c r="AB22" i="66"/>
  <c r="Q25" i="66"/>
  <c r="Q22" i="66"/>
  <c r="Z25" i="66"/>
  <c r="P25" i="66"/>
  <c r="H32" i="66" l="1"/>
  <c r="Z32" i="66" s="1"/>
  <c r="D44" i="66"/>
  <c r="D50" i="66"/>
  <c r="AB32" i="66"/>
  <c r="J32" i="66"/>
  <c r="F36" i="67"/>
  <c r="R26" i="67" l="1"/>
  <c r="F26" i="67"/>
  <c r="C26" i="67"/>
  <c r="R23" i="67"/>
  <c r="F23" i="67"/>
  <c r="C23" i="67"/>
  <c r="C20" i="67"/>
  <c r="C17" i="67"/>
  <c r="N30" i="65"/>
  <c r="G30" i="65"/>
  <c r="N26" i="65"/>
  <c r="G26" i="65"/>
  <c r="G22" i="65"/>
  <c r="G18" i="65"/>
  <c r="G14" i="65"/>
  <c r="S23" i="67" l="1"/>
  <c r="H23" i="67"/>
  <c r="T23" i="67" s="1"/>
  <c r="I22" i="66" s="1"/>
  <c r="J22" i="66" s="1"/>
  <c r="S26" i="67"/>
  <c r="H26" i="67"/>
  <c r="T26" i="67" s="1"/>
  <c r="I25" i="66" s="1"/>
  <c r="J25" i="66" s="1"/>
  <c r="G34" i="65"/>
  <c r="V23" i="67"/>
  <c r="U26" i="67" l="1"/>
  <c r="V26" i="67"/>
  <c r="U23" i="67"/>
  <c r="X26" i="67"/>
  <c r="W26" i="67"/>
  <c r="Y26" i="67" s="1"/>
  <c r="W23" i="67"/>
  <c r="Y23" i="67" s="1"/>
  <c r="X23" i="67"/>
  <c r="N22" i="65" l="1"/>
  <c r="N18" i="65"/>
  <c r="W19" i="66" l="1"/>
  <c r="W13" i="66"/>
  <c r="F20" i="67"/>
  <c r="H20" i="67" s="1"/>
  <c r="F17" i="67"/>
  <c r="H17" i="67" s="1"/>
  <c r="F14" i="67"/>
  <c r="H14" i="67" s="1"/>
  <c r="S19" i="66" l="1"/>
  <c r="R19" i="66"/>
  <c r="O19" i="66"/>
  <c r="P19" i="66" s="1"/>
  <c r="N19" i="66"/>
  <c r="K19" i="66"/>
  <c r="G19" i="66"/>
  <c r="D19" i="66"/>
  <c r="C19" i="66"/>
  <c r="S33" i="67"/>
  <c r="T20" i="67"/>
  <c r="V20" i="67" s="1"/>
  <c r="S20" i="67"/>
  <c r="R20" i="67"/>
  <c r="Z16" i="66" l="1"/>
  <c r="AB16" i="66"/>
  <c r="AD19" i="66"/>
  <c r="AE19" i="66" s="1"/>
  <c r="AF19" i="66" s="1"/>
  <c r="AH19" i="66" s="1"/>
  <c r="AI19" i="66"/>
  <c r="W33" i="67"/>
  <c r="S36" i="67"/>
  <c r="I19" i="66"/>
  <c r="J19" i="66" s="1"/>
  <c r="T19" i="66"/>
  <c r="Q19" i="66"/>
  <c r="U20" i="67"/>
  <c r="V33" i="66"/>
  <c r="S15" i="67" l="1"/>
  <c r="X53" i="66" l="1"/>
  <c r="X54" i="66" s="1"/>
  <c r="X55" i="66" s="1"/>
  <c r="T59" i="67" l="1"/>
  <c r="T60" i="67" s="1"/>
  <c r="T56" i="67"/>
  <c r="T57" i="67" s="1"/>
  <c r="Q56" i="67"/>
  <c r="S55" i="67"/>
  <c r="Q53" i="67"/>
  <c r="Q54" i="67" s="1"/>
  <c r="T52" i="67"/>
  <c r="M51" i="67"/>
  <c r="M50" i="67"/>
  <c r="M49" i="67"/>
  <c r="L49" i="67"/>
  <c r="M48" i="67"/>
  <c r="Q36" i="67"/>
  <c r="P36" i="67"/>
  <c r="O36" i="67"/>
  <c r="N36" i="67"/>
  <c r="M36" i="67"/>
  <c r="J36" i="67"/>
  <c r="I36" i="67"/>
  <c r="G36" i="67"/>
  <c r="E36" i="67"/>
  <c r="L36" i="67"/>
  <c r="T33" i="67"/>
  <c r="W34" i="67" s="1"/>
  <c r="X29" i="67"/>
  <c r="Q29" i="67"/>
  <c r="P29" i="67"/>
  <c r="O29" i="67"/>
  <c r="N29" i="67"/>
  <c r="M29" i="67"/>
  <c r="L29" i="67"/>
  <c r="K29" i="67"/>
  <c r="J29" i="67"/>
  <c r="I29" i="67"/>
  <c r="G29" i="67"/>
  <c r="E29" i="67"/>
  <c r="Y28" i="67"/>
  <c r="AB17" i="67"/>
  <c r="AF17" i="67" s="1"/>
  <c r="Z17" i="67"/>
  <c r="AD17" i="67" s="1"/>
  <c r="R17" i="67"/>
  <c r="AC17" i="67"/>
  <c r="AB16" i="67"/>
  <c r="AF16" i="67" s="1"/>
  <c r="AA16" i="67"/>
  <c r="AE16" i="67" s="1"/>
  <c r="Z16" i="67"/>
  <c r="AD16" i="67" s="1"/>
  <c r="Y16" i="67"/>
  <c r="AC16" i="67" s="1"/>
  <c r="X16" i="67"/>
  <c r="AB15" i="67"/>
  <c r="AF15" i="67" s="1"/>
  <c r="AA15" i="67"/>
  <c r="AE15" i="67" s="1"/>
  <c r="Z15" i="67"/>
  <c r="AD15" i="67" s="1"/>
  <c r="Y15" i="67"/>
  <c r="AC15" i="67" s="1"/>
  <c r="X15" i="67"/>
  <c r="W15" i="67"/>
  <c r="AB14" i="67"/>
  <c r="AF14" i="67" s="1"/>
  <c r="Z14" i="67"/>
  <c r="AD14" i="67" s="1"/>
  <c r="R14" i="67"/>
  <c r="F29" i="67"/>
  <c r="C14" i="67"/>
  <c r="I62" i="66"/>
  <c r="T33" i="66"/>
  <c r="S33" i="66"/>
  <c r="R33" i="66"/>
  <c r="Q33" i="66"/>
  <c r="P33" i="66"/>
  <c r="O33" i="66"/>
  <c r="N33" i="66"/>
  <c r="M33" i="66"/>
  <c r="L33" i="66"/>
  <c r="K33" i="66"/>
  <c r="F33" i="66"/>
  <c r="E33" i="66"/>
  <c r="W30" i="66"/>
  <c r="G30" i="66"/>
  <c r="G33" i="66" s="1"/>
  <c r="C30" i="66"/>
  <c r="O28" i="66"/>
  <c r="P28" i="66" s="1"/>
  <c r="M28" i="66"/>
  <c r="L28" i="66"/>
  <c r="K28" i="66"/>
  <c r="R27" i="66"/>
  <c r="AB19" i="66"/>
  <c r="S16" i="66"/>
  <c r="R16" i="66"/>
  <c r="O16" i="66"/>
  <c r="Q16" i="66" s="1"/>
  <c r="N16" i="66"/>
  <c r="K16" i="66"/>
  <c r="G16" i="66"/>
  <c r="AD16" i="66" s="1"/>
  <c r="D16" i="66"/>
  <c r="C16" i="66"/>
  <c r="AI15" i="66"/>
  <c r="AD15" i="66"/>
  <c r="AE15" i="66" s="1"/>
  <c r="AB15" i="66"/>
  <c r="Z15" i="66"/>
  <c r="AI14" i="66"/>
  <c r="AD14" i="66"/>
  <c r="AE14" i="66" s="1"/>
  <c r="AB14" i="66"/>
  <c r="Z14" i="66"/>
  <c r="S13" i="66"/>
  <c r="S28" i="66" s="1"/>
  <c r="R13" i="66"/>
  <c r="R28" i="66" s="1"/>
  <c r="O13" i="66"/>
  <c r="P13" i="66" s="1"/>
  <c r="N13" i="66"/>
  <c r="K13" i="66"/>
  <c r="AB13" i="66"/>
  <c r="G13" i="66"/>
  <c r="F28" i="66"/>
  <c r="E28" i="66"/>
  <c r="D13" i="66"/>
  <c r="C13" i="66"/>
  <c r="O11" i="66"/>
  <c r="J37" i="65"/>
  <c r="AI16" i="66" l="1"/>
  <c r="AE16" i="66"/>
  <c r="AF16" i="66" s="1"/>
  <c r="AH16" i="66" s="1"/>
  <c r="E37" i="67"/>
  <c r="M52" i="67"/>
  <c r="Y29" i="67"/>
  <c r="Q57" i="67"/>
  <c r="Q58" i="67" s="1"/>
  <c r="N28" i="66"/>
  <c r="P16" i="66"/>
  <c r="Q37" i="67"/>
  <c r="P37" i="67"/>
  <c r="O37" i="67"/>
  <c r="N37" i="67"/>
  <c r="G37" i="67"/>
  <c r="K34" i="66"/>
  <c r="O34" i="66"/>
  <c r="N34" i="66"/>
  <c r="M34" i="66"/>
  <c r="L34" i="66"/>
  <c r="M37" i="67"/>
  <c r="G28" i="66"/>
  <c r="G34" i="66" s="1"/>
  <c r="L37" i="67"/>
  <c r="J37" i="67"/>
  <c r="I37" i="67"/>
  <c r="F37" i="67"/>
  <c r="Q13" i="66"/>
  <c r="T16" i="66"/>
  <c r="T28" i="66"/>
  <c r="T34" i="66" s="1"/>
  <c r="F34" i="66"/>
  <c r="R34" i="66"/>
  <c r="E34" i="66"/>
  <c r="W20" i="67"/>
  <c r="Y20" i="67" s="1"/>
  <c r="X20" i="67"/>
  <c r="P34" i="66"/>
  <c r="V33" i="67"/>
  <c r="S48" i="67"/>
  <c r="T48" i="67"/>
  <c r="T49" i="67" s="1"/>
  <c r="T36" i="67"/>
  <c r="U33" i="67"/>
  <c r="U36" i="67" s="1"/>
  <c r="I30" i="66"/>
  <c r="S34" i="66"/>
  <c r="T13" i="66"/>
  <c r="S14" i="67"/>
  <c r="Y14" i="67"/>
  <c r="AC14" i="67" s="1"/>
  <c r="T17" i="67"/>
  <c r="K36" i="67"/>
  <c r="K37" i="67" s="1"/>
  <c r="K48" i="67"/>
  <c r="Z13" i="66"/>
  <c r="AD13" i="66"/>
  <c r="AI13" i="66"/>
  <c r="AF14" i="66"/>
  <c r="AF15" i="66"/>
  <c r="Z19" i="66"/>
  <c r="H28" i="66"/>
  <c r="Z11" i="66" s="1"/>
  <c r="H30" i="66"/>
  <c r="AA17" i="67"/>
  <c r="AE17" i="67" s="1"/>
  <c r="AB30" i="66"/>
  <c r="X12" i="67"/>
  <c r="AA14" i="67"/>
  <c r="AE14" i="67" s="1"/>
  <c r="S17" i="67"/>
  <c r="AC16" i="66" l="1"/>
  <c r="X16" i="66" s="1"/>
  <c r="AA16" i="66"/>
  <c r="AA27" i="66"/>
  <c r="AC17" i="66"/>
  <c r="AA17" i="66"/>
  <c r="AC20" i="66"/>
  <c r="AC26" i="66"/>
  <c r="AC21" i="66"/>
  <c r="AC27" i="66"/>
  <c r="AA21" i="66"/>
  <c r="AA24" i="66"/>
  <c r="AA18" i="66"/>
  <c r="AA23" i="66"/>
  <c r="AC24" i="66"/>
  <c r="AA26" i="66"/>
  <c r="AA20" i="66"/>
  <c r="AC18" i="66"/>
  <c r="AC23" i="66"/>
  <c r="AC25" i="66"/>
  <c r="X25" i="66" s="1"/>
  <c r="AA25" i="66"/>
  <c r="AA15" i="66"/>
  <c r="AC22" i="66"/>
  <c r="X22" i="66" s="1"/>
  <c r="AA22" i="66"/>
  <c r="Y37" i="67"/>
  <c r="Y12" i="67"/>
  <c r="AA19" i="66"/>
  <c r="Q28" i="66"/>
  <c r="Q34" i="66" s="1"/>
  <c r="Z28" i="66"/>
  <c r="AA13" i="66"/>
  <c r="V17" i="67"/>
  <c r="I16" i="66"/>
  <c r="J16" i="66" s="1"/>
  <c r="J30" i="66"/>
  <c r="I33" i="66"/>
  <c r="I67" i="66" s="1"/>
  <c r="AC13" i="66"/>
  <c r="AC14" i="66"/>
  <c r="AE13" i="66"/>
  <c r="AF13" i="66" s="1"/>
  <c r="U17" i="67"/>
  <c r="AC15" i="66"/>
  <c r="V36" i="67"/>
  <c r="S29" i="67"/>
  <c r="AA14" i="66"/>
  <c r="AB33" i="66"/>
  <c r="T14" i="67"/>
  <c r="H29" i="67"/>
  <c r="H37" i="67" s="1"/>
  <c r="H47" i="67" s="1"/>
  <c r="H33" i="66"/>
  <c r="Z30" i="66"/>
  <c r="AC19" i="66"/>
  <c r="X19" i="66" s="1"/>
  <c r="AB28" i="66"/>
  <c r="AH13" i="66" l="1"/>
  <c r="H34" i="66"/>
  <c r="Z8" i="66" s="1"/>
  <c r="Z29" i="66"/>
  <c r="AB34" i="66"/>
  <c r="AA28" i="66"/>
  <c r="U28" i="66" s="1"/>
  <c r="J33" i="66"/>
  <c r="T29" i="67"/>
  <c r="V14" i="67"/>
  <c r="I13" i="66"/>
  <c r="U14" i="67"/>
  <c r="U29" i="67" s="1"/>
  <c r="U37" i="67" s="1"/>
  <c r="X13" i="66"/>
  <c r="X28" i="66" s="1"/>
  <c r="AC28" i="66"/>
  <c r="V28" i="66" s="1"/>
  <c r="Z33" i="66"/>
  <c r="AA30" i="66" l="1"/>
  <c r="AA32" i="66"/>
  <c r="AC32" i="66"/>
  <c r="X32" i="66" s="1"/>
  <c r="AD33" i="66"/>
  <c r="W28" i="66"/>
  <c r="AC35" i="66"/>
  <c r="AC34" i="66"/>
  <c r="AD34" i="66"/>
  <c r="AA53" i="66"/>
  <c r="Z34" i="66"/>
  <c r="V29" i="67"/>
  <c r="T37" i="67"/>
  <c r="V37" i="67" s="1"/>
  <c r="I28" i="66"/>
  <c r="J13" i="66"/>
  <c r="AA33" i="66"/>
  <c r="U33" i="66" s="1"/>
  <c r="W33" i="66" s="1"/>
  <c r="AC30" i="66"/>
  <c r="AA35" i="66" l="1"/>
  <c r="AA34" i="66"/>
  <c r="U34" i="66" s="1"/>
  <c r="V34" i="66"/>
  <c r="X34" i="66"/>
  <c r="AC33" i="66"/>
  <c r="X33" i="66" s="1"/>
  <c r="X30" i="66"/>
  <c r="J28" i="66"/>
  <c r="I34" i="66"/>
  <c r="J34" i="66" l="1"/>
  <c r="I54" i="66"/>
  <c r="W34" i="66"/>
  <c r="F234" i="43" l="1"/>
  <c r="F13" i="43" l="1"/>
  <c r="B3" i="43" l="1"/>
  <c r="B4" i="43" s="1"/>
  <c r="B5" i="43" s="1"/>
  <c r="B6" i="43" s="1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1" i="43" s="1"/>
  <c r="B112" i="43" s="1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198" i="43" s="1"/>
  <c r="B199" i="43" s="1"/>
  <c r="B200" i="43" s="1"/>
  <c r="B201" i="43" s="1"/>
  <c r="B202" i="43" s="1"/>
  <c r="B203" i="43" s="1"/>
  <c r="B204" i="43" s="1"/>
  <c r="B205" i="43" s="1"/>
  <c r="B206" i="43" s="1"/>
  <c r="B207" i="43" s="1"/>
  <c r="B208" i="43" s="1"/>
  <c r="B209" i="43" s="1"/>
  <c r="B210" i="43" s="1"/>
  <c r="B211" i="43" s="1"/>
  <c r="B212" i="43" s="1"/>
  <c r="B213" i="43" s="1"/>
  <c r="B214" i="43" s="1"/>
  <c r="B215" i="43" s="1"/>
  <c r="B216" i="43" s="1"/>
  <c r="B217" i="43" s="1"/>
  <c r="B218" i="43" s="1"/>
  <c r="B219" i="43" s="1"/>
  <c r="B220" i="43" s="1"/>
  <c r="B221" i="43" s="1"/>
  <c r="B222" i="43" s="1"/>
  <c r="B223" i="43" s="1"/>
  <c r="B224" i="43" s="1"/>
  <c r="B225" i="43" s="1"/>
  <c r="B226" i="43" s="1"/>
  <c r="B227" i="43" s="1"/>
  <c r="B228" i="43" s="1"/>
  <c r="B229" i="43" s="1"/>
  <c r="B230" i="43" s="1"/>
  <c r="B231" i="43" s="1"/>
  <c r="B232" i="43" s="1"/>
  <c r="B233" i="43" s="1"/>
  <c r="B234" i="43" s="1"/>
  <c r="B235" i="43" s="1"/>
  <c r="B236" i="43" s="1"/>
  <c r="B237" i="43" s="1"/>
  <c r="B238" i="43" s="1"/>
  <c r="B239" i="43" s="1"/>
  <c r="B240" i="43" s="1"/>
  <c r="B241" i="43" s="1"/>
  <c r="B242" i="43" s="1"/>
  <c r="B243" i="43" s="1"/>
  <c r="B244" i="43" s="1"/>
  <c r="B245" i="43" s="1"/>
  <c r="B246" i="43" s="1"/>
  <c r="B247" i="43" s="1"/>
  <c r="B248" i="43" s="1"/>
  <c r="B249" i="43" s="1"/>
  <c r="B250" i="43" s="1"/>
  <c r="B251" i="43" s="1"/>
  <c r="B252" i="43" s="1"/>
  <c r="B253" i="43" s="1"/>
  <c r="B254" i="43" s="1"/>
  <c r="B255" i="43" s="1"/>
  <c r="B256" i="43" s="1"/>
  <c r="B257" i="43" s="1"/>
  <c r="B258" i="43" s="1"/>
  <c r="B259" i="43" s="1"/>
  <c r="B260" i="43" s="1"/>
  <c r="B261" i="43" s="1"/>
  <c r="B262" i="43" s="1"/>
  <c r="B263" i="43" s="1"/>
  <c r="B264" i="43" s="1"/>
  <c r="B265" i="43" s="1"/>
  <c r="B266" i="43" s="1"/>
  <c r="B267" i="43" s="1"/>
  <c r="B268" i="43" s="1"/>
  <c r="B269" i="43" s="1"/>
  <c r="B270" i="43" s="1"/>
  <c r="B271" i="43" s="1"/>
  <c r="B272" i="43" s="1"/>
  <c r="B273" i="43" s="1"/>
  <c r="B274" i="43" s="1"/>
  <c r="B275" i="43" s="1"/>
  <c r="B276" i="43" s="1"/>
  <c r="B277" i="43" s="1"/>
  <c r="B278" i="43" s="1"/>
  <c r="B279" i="43" s="1"/>
  <c r="B280" i="43" s="1"/>
  <c r="B281" i="43" s="1"/>
  <c r="B282" i="43" s="1"/>
  <c r="B283" i="43" s="1"/>
  <c r="B284" i="43" s="1"/>
  <c r="B285" i="43" s="1"/>
  <c r="B286" i="43" s="1"/>
  <c r="B287" i="43" s="1"/>
  <c r="B288" i="43" s="1"/>
  <c r="B289" i="43" s="1"/>
  <c r="B290" i="43" s="1"/>
  <c r="B291" i="43" s="1"/>
  <c r="B292" i="43" s="1"/>
  <c r="B293" i="43" s="1"/>
  <c r="B294" i="43" s="1"/>
  <c r="B295" i="43" s="1"/>
  <c r="B296" i="43" s="1"/>
  <c r="B297" i="43" s="1"/>
  <c r="B298" i="43" s="1"/>
  <c r="B299" i="43" s="1"/>
  <c r="B300" i="43" s="1"/>
  <c r="B301" i="43" s="1"/>
  <c r="B302" i="43" s="1"/>
  <c r="B303" i="43" s="1"/>
  <c r="B304" i="43" s="1"/>
  <c r="B305" i="43" s="1"/>
  <c r="B306" i="43" s="1"/>
  <c r="B307" i="43" s="1"/>
  <c r="B308" i="43" s="1"/>
  <c r="B309" i="43" s="1"/>
  <c r="B310" i="43" s="1"/>
  <c r="B311" i="43" s="1"/>
  <c r="B312" i="43" s="1"/>
  <c r="B313" i="43" s="1"/>
  <c r="B314" i="43" s="1"/>
  <c r="B315" i="43" s="1"/>
  <c r="B316" i="43" s="1"/>
  <c r="B317" i="43" s="1"/>
  <c r="B318" i="43" s="1"/>
  <c r="B319" i="43" s="1"/>
  <c r="B320" i="43" s="1"/>
  <c r="B321" i="43" s="1"/>
  <c r="B322" i="43" s="1"/>
  <c r="B323" i="43" s="1"/>
  <c r="B324" i="43" s="1"/>
  <c r="B325" i="43" s="1"/>
  <c r="B326" i="43" s="1"/>
  <c r="B327" i="43" s="1"/>
  <c r="B328" i="43" s="1"/>
  <c r="B329" i="43" s="1"/>
  <c r="B330" i="43" s="1"/>
  <c r="B331" i="43" s="1"/>
  <c r="B332" i="43" s="1"/>
  <c r="B333" i="43" s="1"/>
  <c r="B334" i="43" s="1"/>
  <c r="B335" i="43" s="1"/>
  <c r="B336" i="43" s="1"/>
  <c r="B337" i="43" s="1"/>
  <c r="B338" i="43" s="1"/>
  <c r="B339" i="43" s="1"/>
  <c r="B340" i="43" s="1"/>
  <c r="B341" i="43" s="1"/>
  <c r="B342" i="43" s="1"/>
  <c r="B343" i="43" s="1"/>
  <c r="B344" i="43" s="1"/>
  <c r="B345" i="43" s="1"/>
  <c r="B346" i="43" s="1"/>
  <c r="B347" i="43" s="1"/>
</calcChain>
</file>

<file path=xl/comments1.xml><?xml version="1.0" encoding="utf-8"?>
<comments xmlns="http://schemas.openxmlformats.org/spreadsheetml/2006/main">
  <authors>
    <author>HP</author>
  </authors>
  <commentList>
    <comment ref="J3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<sst xmlns="http://schemas.openxmlformats.org/spreadsheetml/2006/main" count="202" uniqueCount="144">
  <si>
    <t>NO</t>
  </si>
  <si>
    <t>Uraian Kegiatan</t>
  </si>
  <si>
    <t>Renc.</t>
  </si>
  <si>
    <t>Real</t>
  </si>
  <si>
    <t>Dev.</t>
  </si>
  <si>
    <t>Kontraktor</t>
  </si>
  <si>
    <t>Konsultan</t>
  </si>
  <si>
    <t xml:space="preserve"> Jumlah Total</t>
  </si>
  <si>
    <t xml:space="preserve"> REHABILITASI, PEMEL. BERKALA,  BMW &amp; RM</t>
  </si>
  <si>
    <t>Paket</t>
  </si>
  <si>
    <t>Rembiga - Pemenang - Tanjung - Bayan - Ds. Biluk - Sambelia - Lab. Lombok</t>
  </si>
  <si>
    <t>Simpang Kempo - Simpang Kore; Tawali - Sape; Karumbu - Sape</t>
  </si>
  <si>
    <t xml:space="preserve"> Jumlah II</t>
  </si>
  <si>
    <t xml:space="preserve"> Jumlah I</t>
  </si>
  <si>
    <t>I</t>
  </si>
  <si>
    <t>II</t>
  </si>
  <si>
    <t>R u a s</t>
  </si>
  <si>
    <t>Masa Pelaksanaan (HK)</t>
  </si>
  <si>
    <t>DPA</t>
  </si>
  <si>
    <t>Bobot (%)</t>
  </si>
  <si>
    <t>No.</t>
  </si>
  <si>
    <t>PHO</t>
  </si>
  <si>
    <t xml:space="preserve">Realisasi Fisik thd Kontrak </t>
  </si>
  <si>
    <t>Realisasi Fisik (DPA)</t>
  </si>
  <si>
    <t>Sisa DPA</t>
  </si>
  <si>
    <t>Rp.</t>
  </si>
  <si>
    <t>%</t>
  </si>
  <si>
    <t>Nilai Uang sisa setara Fisik</t>
  </si>
  <si>
    <t>Ket.</t>
  </si>
  <si>
    <t xml:space="preserve"> SWAKELOLA</t>
  </si>
  <si>
    <t xml:space="preserve"> Balai Pemel. Jalan P. Lombok</t>
  </si>
  <si>
    <t xml:space="preserve"> Jumlah III</t>
  </si>
  <si>
    <t xml:space="preserve"> Jumlah Total (I+II+III)</t>
  </si>
  <si>
    <t>Uang Muka</t>
  </si>
  <si>
    <t>MC 01</t>
  </si>
  <si>
    <t>MC 02</t>
  </si>
  <si>
    <t>MC 03</t>
  </si>
  <si>
    <t>MC 04</t>
  </si>
  <si>
    <t>MC 05</t>
  </si>
  <si>
    <t>MC 06</t>
  </si>
  <si>
    <t>MC 07</t>
  </si>
  <si>
    <t>MC 08</t>
  </si>
  <si>
    <t>Realisasi Anggaran PRIM</t>
  </si>
  <si>
    <t>Bobot thd nilai Kontrak</t>
  </si>
  <si>
    <t>Nilai Retensi (Jaminan Pemliharaan) = 5% x Kontrak)</t>
  </si>
  <si>
    <t>=</t>
  </si>
  <si>
    <t xml:space="preserve"> Realisasi Keuangan (Rp.)</t>
  </si>
  <si>
    <t>Realisasi Fisik</t>
  </si>
  <si>
    <t>Alokasi Anggaran       (DPA 2015)</t>
  </si>
  <si>
    <t>Sisa Anggaran / Kontrak</t>
  </si>
  <si>
    <t>Total Realisasi Anggaran sesuai nilai Kontrak</t>
  </si>
  <si>
    <t>Realisasi Keuangan</t>
  </si>
  <si>
    <t>Realisasi MC</t>
  </si>
  <si>
    <t>S P 2 D</t>
  </si>
  <si>
    <t>Februari</t>
  </si>
  <si>
    <t>Maret</t>
  </si>
  <si>
    <t>April</t>
  </si>
  <si>
    <t>Mei</t>
  </si>
  <si>
    <t>Juli</t>
  </si>
  <si>
    <t>Agustus</t>
  </si>
  <si>
    <t>September</t>
  </si>
  <si>
    <t>Oktober</t>
  </si>
  <si>
    <t>November</t>
  </si>
  <si>
    <t>Alokasi         Anggaran</t>
  </si>
  <si>
    <t>Sisa             Anggaran</t>
  </si>
  <si>
    <t>RENCANA</t>
  </si>
  <si>
    <t>REALISASI</t>
  </si>
  <si>
    <t>Panjang Penanganan (Km)</t>
  </si>
  <si>
    <t>Eff</t>
  </si>
  <si>
    <t>Fungs</t>
  </si>
  <si>
    <t>Jumlah II</t>
  </si>
  <si>
    <t>Panjang  Penanganan (Km)</t>
  </si>
  <si>
    <t>Effektif</t>
  </si>
  <si>
    <t>Juni</t>
  </si>
  <si>
    <t>Jumlah Komulatif SP2D</t>
  </si>
  <si>
    <t>Nama Ruas</t>
  </si>
  <si>
    <t>MC 09</t>
  </si>
  <si>
    <t>Real Keuangan (%)</t>
  </si>
  <si>
    <t>Realisasi Fisik terhadap Keuangan Komulatif</t>
  </si>
  <si>
    <t xml:space="preserve">Status </t>
  </si>
  <si>
    <t>:</t>
  </si>
  <si>
    <t>Jumlah Total (I+II)</t>
  </si>
  <si>
    <t>Sisa Lelang</t>
  </si>
  <si>
    <t>(Rp.)</t>
  </si>
  <si>
    <t>Total Kontrak</t>
  </si>
  <si>
    <t>Kontrak</t>
  </si>
  <si>
    <t>Alokasi Anggaran (Rp.)</t>
  </si>
  <si>
    <t>DPA 2017</t>
  </si>
  <si>
    <t xml:space="preserve">Nilai Kontrak </t>
  </si>
  <si>
    <t>Total MC</t>
  </si>
  <si>
    <t>December</t>
  </si>
  <si>
    <t>Jumlah</t>
  </si>
  <si>
    <t>BIDANG BINA MARGA DINAS PEKERJAAN UMUM DAN PENATAAN RUANG KABUPATEN LOMBOK BARAT</t>
  </si>
  <si>
    <t>BIDANG BINA MARGA DINAS PEKERJAAN UMUM DAN PENATAAN RUANG KBUPATEN LOMBOK BARAT</t>
  </si>
  <si>
    <t>DPUTR Lobar</t>
  </si>
  <si>
    <t>Schedule Rencana masing2 paket s/d Ahir Desember 2017</t>
  </si>
  <si>
    <t>No./Tanggal Kontrak Dan No. Addendum Kontrak</t>
  </si>
  <si>
    <t xml:space="preserve">Catatan : </t>
  </si>
  <si>
    <t xml:space="preserve"> 3. Surat Perintah Pencairan Dana (SP2D) Tanggal 15 Nopember 2017</t>
  </si>
  <si>
    <t xml:space="preserve"> 2. Surat Perinttah Membayar (SPM) tanggal 13 Nopember 2017</t>
  </si>
  <si>
    <t xml:space="preserve"> 1. Surat Permintaan Pembayaran (SPP) tanggal 25 Oktober 2017</t>
  </si>
  <si>
    <t>-</t>
  </si>
  <si>
    <t>PT. KESAWA KARYA ABADI</t>
  </si>
  <si>
    <t>PT. KARYA TAMANUSA</t>
  </si>
  <si>
    <t>Kepala Bidang Bina Marga Dinas Pekerjaan Umum dan Penataan Ruang Kabupaten Lombok Barat</t>
  </si>
  <si>
    <t>H. AKHMAD HAMBALI, ST</t>
  </si>
  <si>
    <t>Nip. 19620405 198503 1 027</t>
  </si>
  <si>
    <t>P 6</t>
  </si>
  <si>
    <t>Paket VI (Enam) Rehabilitasi/Pemeliharaan Berkala Ruas Jalan (022) Meninting - Midang, Rm + BMW 10 Ruas (DANA PRIM)</t>
  </si>
  <si>
    <t>PT. FIMA KENCANA KERTHASARI</t>
  </si>
  <si>
    <t>CV. ARCHI TEKNIK</t>
  </si>
  <si>
    <t>Penu jukan Penyedia Barang/Jasa</t>
  </si>
  <si>
    <t>Paket VII (tujuh) Rehabilitasi/Pemeliharaan Berkala Ruas Jalan (042) Dasan Geres - Buntage, RM + BMW 8 Ruas (Dana PRIM)</t>
  </si>
  <si>
    <t>P 7</t>
  </si>
  <si>
    <t>CV. CITRA ADI DAYA CONSULTAN</t>
  </si>
  <si>
    <t>Paket VIII (delapan) Rehabilitasi/Pemeliharaan Berkala Ruas Jalan (026) Dasan Tereng - Sembung, RM + BMW 5 Ruas (Dana PRIM)</t>
  </si>
  <si>
    <t>P 8</t>
  </si>
  <si>
    <t>P9</t>
  </si>
  <si>
    <t>Paket IX (sembilan) Rehabilitasi/Pemeliharaan Berkala Ruas Jalan (011) Gerung - Bantir, RM + BMW 5 Ruas (Dana PRIM)</t>
  </si>
  <si>
    <t>CV. PUTRA LOMBOK</t>
  </si>
  <si>
    <t>P 10</t>
  </si>
  <si>
    <t>Paket X (sepuluh) Rehabilitasi/Pemeliharaan Berkala Ruas Jalan (057) Keru - Suranadi, RM + BMW 7 Ruas (Dana PRIM)</t>
  </si>
  <si>
    <t>PT. NIAT KARYA</t>
  </si>
  <si>
    <t>E-KATALOG</t>
  </si>
  <si>
    <t>SWAKELOLA</t>
  </si>
  <si>
    <r>
      <t xml:space="preserve">PENANGANAN JALAN KABUPATEN </t>
    </r>
    <r>
      <rPr>
        <sz val="18"/>
        <rFont val="Brush Script MT"/>
        <family val="4"/>
      </rPr>
      <t>dengan</t>
    </r>
    <r>
      <rPr>
        <sz val="16"/>
        <rFont val="Bodoni MT Black"/>
        <family val="1"/>
      </rPr>
      <t xml:space="preserve"> PROGRAM PRIM KIAT</t>
    </r>
  </si>
  <si>
    <t>TAHUN ANGGARAN 2019</t>
  </si>
  <si>
    <t>REALISASI KEUANGAN PEMELIHARAAN JALAN KABUPATEN dengan PROGRAM PRIM EXT. PHASE III</t>
  </si>
  <si>
    <t>REALISASI FISIK &amp; KEUANGAN PEMEL. JALAN KABUPATEN dengan PROGRAM PRIM KIAT</t>
  </si>
  <si>
    <t>DPA 2019</t>
  </si>
  <si>
    <t xml:space="preserve"> 29 MEI 2019</t>
  </si>
  <si>
    <t>Status :      MEI 2019</t>
  </si>
  <si>
    <t>027/12/PPK-RHB.PEMEL.PRIM/BM/03/2019</t>
  </si>
  <si>
    <t>027/95/PPK-RHB.PEMEL.PRIM/BM/03/2019</t>
  </si>
  <si>
    <t>027/96/PPK-RHB.PEMEL.PRIM/BM/03/2019</t>
  </si>
  <si>
    <t>027/13/PPK-RHB.PEMEL.PRIM/BM/03/2019</t>
  </si>
  <si>
    <t>027/14/PPK-RHB.PEMEL.PRIM/BM/03/2019</t>
  </si>
  <si>
    <t>027/97/PPK-RHB.PEMEL.PRIM/BM/03/2019</t>
  </si>
  <si>
    <t>027/98/PPK-RHB.PEMEL.PRIM/BM/03/2019</t>
  </si>
  <si>
    <t>027/15/PPK-RHB.PEMEL.PRIM/BM/03/2019</t>
  </si>
  <si>
    <t>027/99/PPK-RHB.PEMEL.PRIM/BM/03/2019</t>
  </si>
  <si>
    <t>027/16/PPK-RHB.PEMEL.PRIM/BM/03/2019</t>
  </si>
  <si>
    <t>25 Februari 2019</t>
  </si>
  <si>
    <t>1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</si>
</sst>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_(* #,##0.0_);_(* \(#,##0.0\);_(* &quot;-&quot;?_);_(@_)"/>
    <numFmt numFmtId="168" formatCode="_(* #,##0_);_(* \(#,##0\);_(* &quot;-&quot;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 Rounded MT Bold"/>
      <family val="2"/>
    </font>
    <font>
      <sz val="16"/>
      <name val="Bremen Bd BT"/>
      <family val="5"/>
    </font>
    <font>
      <sz val="11"/>
      <color theme="1"/>
      <name val="Calibri"/>
      <family val="2"/>
      <charset val="1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6"/>
      <name val="Bodoni MT Black"/>
      <family val="1"/>
    </font>
    <font>
      <sz val="18"/>
      <name val="Brush Script MT"/>
      <family val="4"/>
    </font>
    <font>
      <sz val="18"/>
      <name val="Britannic Bold"/>
      <family val="2"/>
    </font>
    <font>
      <i/>
      <sz val="11"/>
      <name val="Times New Roman"/>
      <family val="1"/>
    </font>
    <font>
      <sz val="16"/>
      <name val="Arial Rounded MT Bold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b/>
      <sz val="9"/>
      <name val="Bookman Old Style"/>
      <family val="1"/>
    </font>
    <font>
      <sz val="10"/>
      <color rgb="FF000000"/>
      <name val="Bookman Old Style"/>
      <family val="1"/>
    </font>
    <font>
      <sz val="9"/>
      <color rgb="FF00000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b/>
      <sz val="10"/>
      <color rgb="FF000000"/>
      <name val="Bookman Old Style"/>
      <family val="1"/>
    </font>
    <font>
      <b/>
      <sz val="8"/>
      <color rgb="FF000000"/>
      <name val="Bookman Old Style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 ESSENCE"/>
    </font>
    <font>
      <sz val="11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solid">
        <fgColor theme="6" tint="0.39997558519241921"/>
        <bgColor indexed="64"/>
      </patternFill>
    </fill>
    <fill>
      <patternFill patternType="gray06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1" fillId="0" borderId="0"/>
  </cellStyleXfs>
  <cellXfs count="53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9" fillId="4" borderId="16" xfId="0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 applyAlignment="1">
      <alignment vertical="center"/>
    </xf>
    <xf numFmtId="0" fontId="9" fillId="4" borderId="20" xfId="0" applyFont="1" applyFill="1" applyBorder="1"/>
    <xf numFmtId="0" fontId="9" fillId="4" borderId="21" xfId="0" applyFont="1" applyFill="1" applyBorder="1"/>
    <xf numFmtId="0" fontId="0" fillId="0" borderId="0" xfId="0" applyBorder="1"/>
    <xf numFmtId="0" fontId="0" fillId="0" borderId="31" xfId="0" applyBorder="1"/>
    <xf numFmtId="0" fontId="8" fillId="6" borderId="20" xfId="0" applyFont="1" applyFill="1" applyBorder="1" applyAlignment="1">
      <alignment vertical="center"/>
    </xf>
    <xf numFmtId="165" fontId="8" fillId="6" borderId="20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8" fillId="6" borderId="22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43" fontId="15" fillId="0" borderId="0" xfId="1" applyFont="1" applyAlignment="1">
      <alignment vertical="center"/>
    </xf>
    <xf numFmtId="0" fontId="9" fillId="4" borderId="47" xfId="0" applyFont="1" applyFill="1" applyBorder="1"/>
    <xf numFmtId="0" fontId="9" fillId="4" borderId="41" xfId="0" applyFont="1" applyFill="1" applyBorder="1"/>
    <xf numFmtId="0" fontId="0" fillId="6" borderId="0" xfId="0" applyFill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9" fillId="4" borderId="40" xfId="0" applyFont="1" applyFill="1" applyBorder="1"/>
    <xf numFmtId="0" fontId="9" fillId="4" borderId="42" xfId="0" applyFont="1" applyFill="1" applyBorder="1"/>
    <xf numFmtId="165" fontId="8" fillId="6" borderId="21" xfId="0" applyNumberFormat="1" applyFont="1" applyFill="1" applyBorder="1" applyAlignment="1">
      <alignment vertical="center"/>
    </xf>
    <xf numFmtId="43" fontId="0" fillId="0" borderId="0" xfId="0" applyNumberFormat="1"/>
    <xf numFmtId="43" fontId="0" fillId="0" borderId="0" xfId="1" applyFont="1"/>
    <xf numFmtId="0" fontId="0" fillId="0" borderId="0" xfId="0" applyNumberFormat="1"/>
    <xf numFmtId="0" fontId="8" fillId="2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164" fontId="8" fillId="6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 wrapText="1"/>
    </xf>
    <xf numFmtId="164" fontId="19" fillId="4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left" vertical="top" wrapText="1"/>
    </xf>
    <xf numFmtId="164" fontId="11" fillId="5" borderId="0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vertical="center"/>
    </xf>
    <xf numFmtId="165" fontId="9" fillId="9" borderId="0" xfId="0" applyNumberFormat="1" applyFont="1" applyFill="1" applyBorder="1" applyAlignment="1">
      <alignment horizontal="center" vertical="center"/>
    </xf>
    <xf numFmtId="164" fontId="14" fillId="9" borderId="0" xfId="0" applyNumberFormat="1" applyFont="1" applyFill="1" applyBorder="1" applyAlignment="1">
      <alignment horizontal="center" vertical="center"/>
    </xf>
    <xf numFmtId="164" fontId="8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165" fontId="9" fillId="10" borderId="0" xfId="0" applyNumberFormat="1" applyFont="1" applyFill="1" applyBorder="1" applyAlignment="1">
      <alignment horizontal="center" vertical="center"/>
    </xf>
    <xf numFmtId="165" fontId="19" fillId="10" borderId="0" xfId="0" applyNumberFormat="1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/>
    </xf>
    <xf numFmtId="0" fontId="9" fillId="15" borderId="17" xfId="0" applyFont="1" applyFill="1" applyBorder="1"/>
    <xf numFmtId="0" fontId="9" fillId="15" borderId="21" xfId="0" applyFont="1" applyFill="1" applyBorder="1"/>
    <xf numFmtId="37" fontId="0" fillId="0" borderId="0" xfId="0" applyNumberFormat="1"/>
    <xf numFmtId="164" fontId="0" fillId="0" borderId="0" xfId="0" applyNumberFormat="1"/>
    <xf numFmtId="164" fontId="8" fillId="6" borderId="57" xfId="0" applyNumberFormat="1" applyFont="1" applyFill="1" applyBorder="1" applyAlignment="1">
      <alignment vertical="center"/>
    </xf>
    <xf numFmtId="165" fontId="8" fillId="6" borderId="42" xfId="0" applyNumberFormat="1" applyFont="1" applyFill="1" applyBorder="1" applyAlignment="1">
      <alignment vertical="center"/>
    </xf>
    <xf numFmtId="0" fontId="9" fillId="6" borderId="42" xfId="0" applyFont="1" applyFill="1" applyBorder="1" applyAlignment="1">
      <alignment vertical="center"/>
    </xf>
    <xf numFmtId="165" fontId="8" fillId="15" borderId="42" xfId="0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165" fontId="8" fillId="6" borderId="59" xfId="0" applyNumberFormat="1" applyFont="1" applyFill="1" applyBorder="1" applyAlignment="1">
      <alignment vertical="center"/>
    </xf>
    <xf numFmtId="0" fontId="9" fillId="6" borderId="59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12" borderId="39" xfId="0" applyFont="1" applyFill="1" applyBorder="1" applyAlignment="1">
      <alignment horizontal="center" vertical="center"/>
    </xf>
    <xf numFmtId="0" fontId="12" fillId="4" borderId="15" xfId="0" applyFont="1" applyFill="1" applyBorder="1"/>
    <xf numFmtId="0" fontId="12" fillId="4" borderId="47" xfId="0" applyFont="1" applyFill="1" applyBorder="1"/>
    <xf numFmtId="0" fontId="12" fillId="4" borderId="16" xfId="0" applyFont="1" applyFill="1" applyBorder="1" applyAlignment="1">
      <alignment vertical="center"/>
    </xf>
    <xf numFmtId="0" fontId="12" fillId="11" borderId="16" xfId="0" applyFont="1" applyFill="1" applyBorder="1"/>
    <xf numFmtId="0" fontId="12" fillId="4" borderId="40" xfId="0" applyFont="1" applyFill="1" applyBorder="1"/>
    <xf numFmtId="0" fontId="12" fillId="4" borderId="17" xfId="0" applyFont="1" applyFill="1" applyBorder="1"/>
    <xf numFmtId="0" fontId="12" fillId="0" borderId="17" xfId="0" applyFont="1" applyFill="1" applyBorder="1"/>
    <xf numFmtId="0" fontId="12" fillId="4" borderId="16" xfId="0" applyFont="1" applyFill="1" applyBorder="1"/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64" fontId="21" fillId="11" borderId="42" xfId="0" applyNumberFormat="1" applyFont="1" applyFill="1" applyBorder="1" applyAlignment="1">
      <alignment vertical="center"/>
    </xf>
    <xf numFmtId="165" fontId="21" fillId="6" borderId="42" xfId="0" applyNumberFormat="1" applyFont="1" applyFill="1" applyBorder="1" applyAlignment="1">
      <alignment vertical="center"/>
    </xf>
    <xf numFmtId="0" fontId="12" fillId="4" borderId="19" xfId="0" applyFont="1" applyFill="1" applyBorder="1"/>
    <xf numFmtId="0" fontId="12" fillId="4" borderId="41" xfId="0" applyFont="1" applyFill="1" applyBorder="1"/>
    <xf numFmtId="0" fontId="12" fillId="4" borderId="20" xfId="0" applyFont="1" applyFill="1" applyBorder="1" applyAlignment="1">
      <alignment vertical="center"/>
    </xf>
    <xf numFmtId="0" fontId="12" fillId="11" borderId="20" xfId="0" applyFont="1" applyFill="1" applyBorder="1"/>
    <xf numFmtId="0" fontId="12" fillId="4" borderId="42" xfId="0" applyFont="1" applyFill="1" applyBorder="1"/>
    <xf numFmtId="0" fontId="12" fillId="4" borderId="21" xfId="0" applyFont="1" applyFill="1" applyBorder="1"/>
    <xf numFmtId="0" fontId="12" fillId="0" borderId="21" xfId="0" applyFont="1" applyFill="1" applyBorder="1"/>
    <xf numFmtId="0" fontId="12" fillId="4" borderId="20" xfId="0" applyFont="1" applyFill="1" applyBorder="1"/>
    <xf numFmtId="164" fontId="23" fillId="4" borderId="20" xfId="1" applyNumberFormat="1" applyFont="1" applyFill="1" applyBorder="1" applyAlignment="1">
      <alignment horizontal="center" vertical="center"/>
    </xf>
    <xf numFmtId="164" fontId="12" fillId="0" borderId="20" xfId="1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164" fontId="12" fillId="0" borderId="21" xfId="1" applyNumberFormat="1" applyFont="1" applyFill="1" applyBorder="1" applyAlignment="1">
      <alignment horizontal="center" vertical="center"/>
    </xf>
    <xf numFmtId="164" fontId="23" fillId="0" borderId="21" xfId="1" applyNumberFormat="1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vertical="center"/>
    </xf>
    <xf numFmtId="164" fontId="12" fillId="4" borderId="21" xfId="1" applyNumberFormat="1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165" fontId="21" fillId="6" borderId="59" xfId="0" applyNumberFormat="1" applyFont="1" applyFill="1" applyBorder="1" applyAlignment="1">
      <alignment vertical="center"/>
    </xf>
    <xf numFmtId="164" fontId="21" fillId="6" borderId="61" xfId="1" applyNumberFormat="1" applyFont="1" applyFill="1" applyBorder="1" applyAlignment="1">
      <alignment vertical="center"/>
    </xf>
    <xf numFmtId="0" fontId="21" fillId="17" borderId="26" xfId="0" applyFont="1" applyFill="1" applyBorder="1" applyAlignment="1">
      <alignment vertical="center"/>
    </xf>
    <xf numFmtId="0" fontId="21" fillId="17" borderId="11" xfId="0" applyFont="1" applyFill="1" applyBorder="1" applyAlignment="1">
      <alignment vertical="center"/>
    </xf>
    <xf numFmtId="164" fontId="23" fillId="17" borderId="4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164" fontId="9" fillId="10" borderId="0" xfId="0" applyNumberFormat="1" applyFont="1" applyFill="1" applyBorder="1" applyAlignment="1">
      <alignment horizontal="center" vertical="center" wrapText="1"/>
    </xf>
    <xf numFmtId="43" fontId="11" fillId="4" borderId="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164" fontId="12" fillId="11" borderId="20" xfId="1" applyNumberFormat="1" applyFont="1" applyFill="1" applyBorder="1" applyAlignment="1">
      <alignment horizontal="center" vertical="center"/>
    </xf>
    <xf numFmtId="164" fontId="23" fillId="0" borderId="20" xfId="1" applyNumberFormat="1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vertical="center"/>
    </xf>
    <xf numFmtId="0" fontId="21" fillId="13" borderId="48" xfId="0" applyFont="1" applyFill="1" applyBorder="1" applyAlignment="1">
      <alignment vertical="center"/>
    </xf>
    <xf numFmtId="0" fontId="21" fillId="13" borderId="45" xfId="0" applyFont="1" applyFill="1" applyBorder="1" applyAlignment="1">
      <alignment vertical="center"/>
    </xf>
    <xf numFmtId="164" fontId="12" fillId="13" borderId="45" xfId="0" applyNumberFormat="1" applyFont="1" applyFill="1" applyBorder="1" applyAlignment="1">
      <alignment horizontal="center" vertical="center"/>
    </xf>
    <xf numFmtId="0" fontId="21" fillId="17" borderId="43" xfId="0" applyFont="1" applyFill="1" applyBorder="1" applyAlignment="1">
      <alignment horizontal="center" vertical="center" wrapText="1"/>
    </xf>
    <xf numFmtId="43" fontId="9" fillId="0" borderId="44" xfId="1" applyFont="1" applyFill="1" applyBorder="1" applyAlignment="1">
      <alignment horizontal="center" vertical="center"/>
    </xf>
    <xf numFmtId="164" fontId="11" fillId="0" borderId="44" xfId="1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6" fontId="11" fillId="0" borderId="24" xfId="1" applyNumberFormat="1" applyFont="1" applyFill="1" applyBorder="1" applyAlignment="1">
      <alignment horizontal="center" vertical="center"/>
    </xf>
    <xf numFmtId="164" fontId="9" fillId="0" borderId="24" xfId="1" applyNumberFormat="1" applyFont="1" applyFill="1" applyBorder="1" applyAlignment="1">
      <alignment horizontal="center" vertical="center"/>
    </xf>
    <xf numFmtId="43" fontId="9" fillId="0" borderId="24" xfId="1" applyNumberFormat="1" applyFont="1" applyFill="1" applyBorder="1" applyAlignment="1">
      <alignment horizontal="center" vertical="center"/>
    </xf>
    <xf numFmtId="164" fontId="23" fillId="4" borderId="41" xfId="1" applyNumberFormat="1" applyFont="1" applyFill="1" applyBorder="1" applyAlignment="1">
      <alignment horizontal="center" vertical="center"/>
    </xf>
    <xf numFmtId="164" fontId="23" fillId="11" borderId="20" xfId="1" applyNumberFormat="1" applyFont="1" applyFill="1" applyBorder="1" applyAlignment="1">
      <alignment horizontal="center" vertical="center"/>
    </xf>
    <xf numFmtId="164" fontId="9" fillId="19" borderId="4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/>
    </xf>
    <xf numFmtId="164" fontId="9" fillId="0" borderId="45" xfId="1" applyNumberFormat="1" applyFont="1" applyFill="1" applyBorder="1" applyAlignment="1">
      <alignment vertical="center"/>
    </xf>
    <xf numFmtId="43" fontId="9" fillId="0" borderId="45" xfId="1" applyNumberFormat="1" applyFont="1" applyFill="1" applyBorder="1" applyAlignment="1">
      <alignment vertical="center"/>
    </xf>
    <xf numFmtId="2" fontId="9" fillId="0" borderId="45" xfId="1" applyNumberFormat="1" applyFont="1" applyFill="1" applyBorder="1" applyAlignment="1">
      <alignment vertical="center"/>
    </xf>
    <xf numFmtId="43" fontId="9" fillId="8" borderId="45" xfId="0" applyNumberFormat="1" applyFont="1" applyFill="1" applyBorder="1" applyAlignment="1">
      <alignment horizontal="center" vertical="center"/>
    </xf>
    <xf numFmtId="164" fontId="8" fillId="8" borderId="45" xfId="0" applyNumberFormat="1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vertical="center"/>
    </xf>
    <xf numFmtId="0" fontId="8" fillId="2" borderId="63" xfId="0" applyFont="1" applyFill="1" applyBorder="1" applyAlignment="1">
      <alignment horizontal="center" vertical="center"/>
    </xf>
    <xf numFmtId="43" fontId="9" fillId="4" borderId="0" xfId="1" applyFont="1" applyFill="1" applyBorder="1" applyAlignment="1">
      <alignment horizontal="center" vertical="center"/>
    </xf>
    <xf numFmtId="43" fontId="8" fillId="6" borderId="0" xfId="1" applyFont="1" applyFill="1" applyBorder="1" applyAlignment="1">
      <alignment horizontal="center" vertical="center"/>
    </xf>
    <xf numFmtId="43" fontId="14" fillId="5" borderId="0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/>
    </xf>
    <xf numFmtId="15" fontId="0" fillId="0" borderId="0" xfId="0" applyNumberFormat="1"/>
    <xf numFmtId="43" fontId="12" fillId="0" borderId="0" xfId="1" applyFont="1"/>
    <xf numFmtId="43" fontId="25" fillId="0" borderId="0" xfId="1" applyFont="1"/>
    <xf numFmtId="43" fontId="9" fillId="6" borderId="0" xfId="1" applyFont="1" applyFill="1" applyBorder="1" applyAlignment="1">
      <alignment horizontal="center" vertical="center"/>
    </xf>
    <xf numFmtId="164" fontId="0" fillId="0" borderId="0" xfId="1" applyNumberFormat="1" applyFont="1"/>
    <xf numFmtId="0" fontId="13" fillId="3" borderId="4" xfId="0" applyFont="1" applyFill="1" applyBorder="1" applyAlignment="1">
      <alignment horizontal="center" vertical="center" wrapText="1"/>
    </xf>
    <xf numFmtId="43" fontId="9" fillId="0" borderId="24" xfId="1" applyFont="1" applyFill="1" applyBorder="1" applyAlignment="1">
      <alignment horizontal="center" vertical="center"/>
    </xf>
    <xf numFmtId="0" fontId="26" fillId="0" borderId="0" xfId="0" applyFont="1"/>
    <xf numFmtId="0" fontId="27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4" fontId="33" fillId="0" borderId="0" xfId="1" applyNumberFormat="1" applyFont="1"/>
    <xf numFmtId="0" fontId="30" fillId="0" borderId="66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vertical="center"/>
    </xf>
    <xf numFmtId="0" fontId="21" fillId="4" borderId="45" xfId="0" applyFont="1" applyFill="1" applyBorder="1" applyAlignment="1">
      <alignment vertical="center"/>
    </xf>
    <xf numFmtId="0" fontId="12" fillId="4" borderId="45" xfId="0" applyFont="1" applyFill="1" applyBorder="1" applyAlignment="1">
      <alignment vertical="center" wrapText="1"/>
    </xf>
    <xf numFmtId="164" fontId="12" fillId="4" borderId="45" xfId="1" applyNumberFormat="1" applyFont="1" applyFill="1" applyBorder="1" applyAlignment="1">
      <alignment vertical="center"/>
    </xf>
    <xf numFmtId="164" fontId="12" fillId="4" borderId="1" xfId="1" applyNumberFormat="1" applyFont="1" applyFill="1" applyBorder="1" applyAlignment="1">
      <alignment vertical="center"/>
    </xf>
    <xf numFmtId="43" fontId="12" fillId="4" borderId="45" xfId="1" applyNumberFormat="1" applyFont="1" applyFill="1" applyBorder="1" applyAlignment="1">
      <alignment vertical="center"/>
    </xf>
    <xf numFmtId="164" fontId="23" fillId="4" borderId="45" xfId="1" applyNumberFormat="1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164" fontId="9" fillId="17" borderId="4" xfId="0" applyNumberFormat="1" applyFont="1" applyFill="1" applyBorder="1" applyAlignment="1">
      <alignment horizontal="center" vertical="center"/>
    </xf>
    <xf numFmtId="2" fontId="8" fillId="17" borderId="28" xfId="0" applyNumberFormat="1" applyFont="1" applyFill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/>
    </xf>
    <xf numFmtId="164" fontId="9" fillId="4" borderId="21" xfId="1" applyNumberFormat="1" applyFont="1" applyFill="1" applyBorder="1" applyAlignment="1">
      <alignment vertical="center"/>
    </xf>
    <xf numFmtId="165" fontId="10" fillId="14" borderId="11" xfId="0" applyNumberFormat="1" applyFont="1" applyFill="1" applyBorder="1" applyAlignment="1">
      <alignment horizontal="center" vertical="center"/>
    </xf>
    <xf numFmtId="166" fontId="10" fillId="14" borderId="11" xfId="0" applyNumberFormat="1" applyFont="1" applyFill="1" applyBorder="1" applyAlignment="1">
      <alignment horizontal="center" vertical="center"/>
    </xf>
    <xf numFmtId="43" fontId="10" fillId="14" borderId="11" xfId="1" applyFont="1" applyFill="1" applyBorder="1" applyAlignment="1">
      <alignment horizontal="center" vertical="center"/>
    </xf>
    <xf numFmtId="166" fontId="8" fillId="8" borderId="45" xfId="0" applyNumberFormat="1" applyFont="1" applyFill="1" applyBorder="1" applyAlignment="1">
      <alignment horizontal="center" vertical="center"/>
    </xf>
    <xf numFmtId="164" fontId="12" fillId="4" borderId="16" xfId="1" applyNumberFormat="1" applyFont="1" applyFill="1" applyBorder="1" applyAlignment="1">
      <alignment vertical="center"/>
    </xf>
    <xf numFmtId="164" fontId="21" fillId="5" borderId="4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164" fontId="21" fillId="13" borderId="4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 wrapText="1"/>
    </xf>
    <xf numFmtId="0" fontId="34" fillId="0" borderId="0" xfId="0" applyFont="1"/>
    <xf numFmtId="43" fontId="34" fillId="0" borderId="0" xfId="1" applyFont="1"/>
    <xf numFmtId="166" fontId="11" fillId="0" borderId="24" xfId="1" applyNumberFormat="1" applyFont="1" applyFill="1" applyBorder="1" applyAlignment="1">
      <alignment vertical="center"/>
    </xf>
    <xf numFmtId="164" fontId="10" fillId="17" borderId="43" xfId="0" applyNumberFormat="1" applyFont="1" applyFill="1" applyBorder="1" applyAlignment="1">
      <alignment horizontal="center" vertical="center"/>
    </xf>
    <xf numFmtId="165" fontId="8" fillId="6" borderId="63" xfId="0" applyNumberFormat="1" applyFont="1" applyFill="1" applyBorder="1" applyAlignment="1">
      <alignment vertical="center"/>
    </xf>
    <xf numFmtId="164" fontId="12" fillId="4" borderId="20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5" fontId="8" fillId="6" borderId="4" xfId="0" applyNumberFormat="1" applyFont="1" applyFill="1" applyBorder="1" applyAlignment="1">
      <alignment horizontal="center" vertical="center"/>
    </xf>
    <xf numFmtId="165" fontId="8" fillId="6" borderId="7" xfId="0" applyNumberFormat="1" applyFont="1" applyFill="1" applyBorder="1" applyAlignment="1">
      <alignment horizontal="center" vertical="center"/>
    </xf>
    <xf numFmtId="164" fontId="36" fillId="0" borderId="0" xfId="0" applyNumberFormat="1" applyFont="1"/>
    <xf numFmtId="0" fontId="8" fillId="4" borderId="19" xfId="0" applyFont="1" applyFill="1" applyBorder="1" applyAlignment="1">
      <alignment horizontal="center" vertical="center"/>
    </xf>
    <xf numFmtId="164" fontId="9" fillId="4" borderId="44" xfId="1" applyNumberFormat="1" applyFont="1" applyFill="1" applyBorder="1" applyAlignment="1">
      <alignment horizontal="center" vertical="center"/>
    </xf>
    <xf numFmtId="43" fontId="9" fillId="4" borderId="44" xfId="1" applyFont="1" applyFill="1" applyBorder="1" applyAlignment="1">
      <alignment horizontal="center" vertical="center"/>
    </xf>
    <xf numFmtId="43" fontId="9" fillId="4" borderId="38" xfId="1" applyFont="1" applyFill="1" applyBorder="1" applyAlignment="1">
      <alignment horizontal="center" vertical="center"/>
    </xf>
    <xf numFmtId="2" fontId="9" fillId="4" borderId="44" xfId="1" applyNumberFormat="1" applyFont="1" applyFill="1" applyBorder="1" applyAlignment="1">
      <alignment horizontal="center" vertical="center" wrapText="1"/>
    </xf>
    <xf numFmtId="2" fontId="9" fillId="4" borderId="44" xfId="1" applyNumberFormat="1" applyFont="1" applyFill="1" applyBorder="1" applyAlignment="1">
      <alignment horizontal="center" vertical="center"/>
    </xf>
    <xf numFmtId="43" fontId="19" fillId="4" borderId="54" xfId="1" applyFont="1" applyFill="1" applyBorder="1" applyAlignment="1">
      <alignment horizontal="center" vertical="center"/>
    </xf>
    <xf numFmtId="164" fontId="9" fillId="4" borderId="20" xfId="1" applyNumberFormat="1" applyFont="1" applyFill="1" applyBorder="1" applyAlignment="1">
      <alignment horizontal="center" vertical="center"/>
    </xf>
    <xf numFmtId="43" fontId="9" fillId="4" borderId="21" xfId="1" applyFont="1" applyFill="1" applyBorder="1" applyAlignment="1">
      <alignment horizontal="center" vertical="center"/>
    </xf>
    <xf numFmtId="164" fontId="9" fillId="4" borderId="2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164" fontId="11" fillId="4" borderId="21" xfId="1" applyNumberFormat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vertical="center"/>
    </xf>
    <xf numFmtId="2" fontId="9" fillId="4" borderId="20" xfId="1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vertical="center"/>
    </xf>
    <xf numFmtId="0" fontId="15" fillId="7" borderId="43" xfId="0" applyFont="1" applyFill="1" applyBorder="1" applyAlignment="1">
      <alignment vertical="center"/>
    </xf>
    <xf numFmtId="164" fontId="36" fillId="0" borderId="0" xfId="1" applyNumberFormat="1" applyFont="1" applyAlignment="1">
      <alignment vertical="center"/>
    </xf>
    <xf numFmtId="43" fontId="21" fillId="13" borderId="45" xfId="0" applyNumberFormat="1" applyFont="1" applyFill="1" applyBorder="1" applyAlignment="1">
      <alignment horizontal="center" vertical="center"/>
    </xf>
    <xf numFmtId="0" fontId="12" fillId="4" borderId="18" xfId="0" applyFont="1" applyFill="1" applyBorder="1"/>
    <xf numFmtId="165" fontId="21" fillId="6" borderId="57" xfId="0" applyNumberFormat="1" applyFont="1" applyFill="1" applyBorder="1" applyAlignment="1">
      <alignment vertical="center"/>
    </xf>
    <xf numFmtId="0" fontId="12" fillId="4" borderId="22" xfId="0" applyFont="1" applyFill="1" applyBorder="1"/>
    <xf numFmtId="164" fontId="21" fillId="6" borderId="72" xfId="1" applyNumberFormat="1" applyFont="1" applyFill="1" applyBorder="1" applyAlignment="1">
      <alignment vertical="center"/>
    </xf>
    <xf numFmtId="43" fontId="12" fillId="4" borderId="32" xfId="1" applyFont="1" applyFill="1" applyBorder="1" applyAlignment="1">
      <alignment vertical="center"/>
    </xf>
    <xf numFmtId="43" fontId="8" fillId="13" borderId="32" xfId="1" applyFont="1" applyFill="1" applyBorder="1" applyAlignment="1">
      <alignment horizontal="center" vertical="center"/>
    </xf>
    <xf numFmtId="43" fontId="13" fillId="21" borderId="10" xfId="1" applyFont="1" applyFill="1" applyBorder="1" applyAlignment="1">
      <alignment horizontal="center" vertical="center"/>
    </xf>
    <xf numFmtId="2" fontId="11" fillId="4" borderId="24" xfId="1" applyNumberFormat="1" applyFont="1" applyFill="1" applyBorder="1" applyAlignment="1">
      <alignment horizontal="center" vertical="center"/>
    </xf>
    <xf numFmtId="0" fontId="15" fillId="7" borderId="56" xfId="0" quotePrefix="1" applyFont="1" applyFill="1" applyBorder="1" applyAlignment="1">
      <alignment vertical="center"/>
    </xf>
    <xf numFmtId="0" fontId="0" fillId="0" borderId="4" xfId="0" applyBorder="1"/>
    <xf numFmtId="164" fontId="0" fillId="0" borderId="4" xfId="0" applyNumberFormat="1" applyBorder="1" applyAlignment="1">
      <alignment vertical="center"/>
    </xf>
    <xf numFmtId="0" fontId="15" fillId="9" borderId="4" xfId="0" applyFont="1" applyFill="1" applyBorder="1" applyAlignment="1">
      <alignment horizontal="right" vertical="center"/>
    </xf>
    <xf numFmtId="164" fontId="8" fillId="6" borderId="28" xfId="0" applyNumberFormat="1" applyFont="1" applyFill="1" applyBorder="1" applyAlignment="1">
      <alignment vertical="center"/>
    </xf>
    <xf numFmtId="164" fontId="8" fillId="6" borderId="46" xfId="0" applyNumberFormat="1" applyFont="1" applyFill="1" applyBorder="1" applyAlignment="1">
      <alignment horizontal="right" vertical="center"/>
    </xf>
    <xf numFmtId="0" fontId="8" fillId="8" borderId="5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164" fontId="8" fillId="6" borderId="59" xfId="1" applyNumberFormat="1" applyFont="1" applyFill="1" applyBorder="1" applyAlignment="1">
      <alignment vertical="center"/>
    </xf>
    <xf numFmtId="164" fontId="8" fillId="6" borderId="59" xfId="0" applyNumberFormat="1" applyFont="1" applyFill="1" applyBorder="1" applyAlignment="1">
      <alignment vertical="center"/>
    </xf>
    <xf numFmtId="0" fontId="37" fillId="0" borderId="0" xfId="0" applyFont="1"/>
    <xf numFmtId="167" fontId="15" fillId="9" borderId="0" xfId="0" applyNumberFormat="1" applyFont="1" applyFill="1"/>
    <xf numFmtId="164" fontId="23" fillId="4" borderId="20" xfId="1" applyNumberFormat="1" applyFont="1" applyFill="1" applyBorder="1" applyAlignment="1">
      <alignment vertical="center"/>
    </xf>
    <xf numFmtId="43" fontId="11" fillId="4" borderId="4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4" fontId="24" fillId="4" borderId="21" xfId="1" applyNumberFormat="1" applyFont="1" applyFill="1" applyBorder="1" applyAlignment="1">
      <alignment horizontal="center" vertical="center"/>
    </xf>
    <xf numFmtId="43" fontId="14" fillId="5" borderId="11" xfId="1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horizontal="center" vertical="center"/>
    </xf>
    <xf numFmtId="43" fontId="11" fillId="4" borderId="20" xfId="1" applyFont="1" applyFill="1" applyBorder="1" applyAlignment="1">
      <alignment horizontal="center" vertical="center"/>
    </xf>
    <xf numFmtId="43" fontId="19" fillId="0" borderId="62" xfId="1" applyFont="1" applyFill="1" applyBorder="1" applyAlignment="1">
      <alignment horizontal="center" vertical="center" wrapText="1"/>
    </xf>
    <xf numFmtId="165" fontId="11" fillId="4" borderId="20" xfId="1" applyNumberFormat="1" applyFont="1" applyFill="1" applyBorder="1" applyAlignment="1">
      <alignment vertical="center"/>
    </xf>
    <xf numFmtId="165" fontId="11" fillId="4" borderId="20" xfId="1" applyNumberFormat="1" applyFont="1" applyFill="1" applyBorder="1" applyAlignment="1">
      <alignment vertical="center" wrapText="1"/>
    </xf>
    <xf numFmtId="43" fontId="11" fillId="0" borderId="16" xfId="1" applyFont="1" applyFill="1" applyBorder="1" applyAlignment="1">
      <alignment vertical="center"/>
    </xf>
    <xf numFmtId="0" fontId="8" fillId="2" borderId="46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vertical="center"/>
    </xf>
    <xf numFmtId="164" fontId="9" fillId="0" borderId="20" xfId="1" applyNumberFormat="1" applyFont="1" applyFill="1" applyBorder="1" applyAlignment="1">
      <alignment horizontal="center" vertical="center" wrapText="1"/>
    </xf>
    <xf numFmtId="164" fontId="9" fillId="4" borderId="21" xfId="1" applyNumberFormat="1" applyFont="1" applyFill="1" applyBorder="1" applyAlignment="1">
      <alignment horizontal="center" vertical="center" wrapText="1"/>
    </xf>
    <xf numFmtId="37" fontId="9" fillId="4" borderId="21" xfId="1" applyNumberFormat="1" applyFont="1" applyFill="1" applyBorder="1" applyAlignment="1">
      <alignment horizontal="center" vertical="center"/>
    </xf>
    <xf numFmtId="14" fontId="9" fillId="4" borderId="21" xfId="1" applyNumberFormat="1" applyFont="1" applyFill="1" applyBorder="1" applyAlignment="1">
      <alignment horizontal="center" vertical="center"/>
    </xf>
    <xf numFmtId="14" fontId="9" fillId="4" borderId="22" xfId="1" applyNumberFormat="1" applyFont="1" applyFill="1" applyBorder="1" applyAlignment="1">
      <alignment horizontal="center" vertical="center"/>
    </xf>
    <xf numFmtId="164" fontId="9" fillId="0" borderId="68" xfId="1" applyNumberFormat="1" applyFont="1" applyFill="1" applyBorder="1" applyAlignment="1">
      <alignment horizontal="center" vertical="center" wrapText="1"/>
    </xf>
    <xf numFmtId="164" fontId="9" fillId="4" borderId="68" xfId="1" applyNumberFormat="1" applyFont="1" applyFill="1" applyBorder="1" applyAlignment="1">
      <alignment horizontal="center" vertical="center" wrapText="1"/>
    </xf>
    <xf numFmtId="164" fontId="11" fillId="4" borderId="20" xfId="1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11" fillId="4" borderId="24" xfId="1" applyNumberFormat="1" applyFont="1" applyFill="1" applyBorder="1" applyAlignment="1">
      <alignment horizontal="center" vertical="center"/>
    </xf>
    <xf numFmtId="165" fontId="11" fillId="4" borderId="25" xfId="1" applyNumberFormat="1" applyFont="1" applyFill="1" applyBorder="1" applyAlignment="1">
      <alignment horizontal="center" vertical="center"/>
    </xf>
    <xf numFmtId="43" fontId="11" fillId="4" borderId="25" xfId="1" applyFont="1" applyFill="1" applyBorder="1" applyAlignment="1">
      <alignment horizontal="center" vertical="center"/>
    </xf>
    <xf numFmtId="43" fontId="11" fillId="4" borderId="27" xfId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8" fillId="5" borderId="43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166" fontId="10" fillId="5" borderId="11" xfId="0" applyNumberFormat="1" applyFont="1" applyFill="1" applyBorder="1" applyAlignment="1">
      <alignment horizontal="center" vertical="center"/>
    </xf>
    <xf numFmtId="43" fontId="10" fillId="5" borderId="11" xfId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43" fontId="11" fillId="0" borderId="24" xfId="1" applyFont="1" applyFill="1" applyBorder="1" applyAlignment="1">
      <alignment vertical="center"/>
    </xf>
    <xf numFmtId="164" fontId="11" fillId="0" borderId="71" xfId="1" applyNumberFormat="1" applyFont="1" applyBorder="1" applyAlignment="1">
      <alignment vertical="center"/>
    </xf>
    <xf numFmtId="164" fontId="11" fillId="0" borderId="20" xfId="1" applyNumberFormat="1" applyFont="1" applyBorder="1" applyAlignment="1">
      <alignment vertical="center"/>
    </xf>
    <xf numFmtId="164" fontId="12" fillId="4" borderId="4" xfId="1" applyNumberFormat="1" applyFont="1" applyFill="1" applyBorder="1" applyAlignment="1">
      <alignment vertical="center"/>
    </xf>
    <xf numFmtId="168" fontId="0" fillId="0" borderId="0" xfId="0" applyNumberFormat="1"/>
    <xf numFmtId="0" fontId="8" fillId="2" borderId="28" xfId="0" applyFont="1" applyFill="1" applyBorder="1" applyAlignment="1">
      <alignment horizontal="center" vertical="center"/>
    </xf>
    <xf numFmtId="14" fontId="12" fillId="4" borderId="44" xfId="1" applyNumberFormat="1" applyFont="1" applyFill="1" applyBorder="1" applyAlignment="1">
      <alignment horizontal="center" vertical="center" wrapText="1"/>
    </xf>
    <xf numFmtId="43" fontId="12" fillId="4" borderId="38" xfId="1" applyFont="1" applyFill="1" applyBorder="1" applyAlignment="1">
      <alignment horizontal="center" vertical="center"/>
    </xf>
    <xf numFmtId="164" fontId="11" fillId="4" borderId="20" xfId="1" applyNumberFormat="1" applyFont="1" applyFill="1" applyBorder="1" applyAlignment="1">
      <alignment vertical="center"/>
    </xf>
    <xf numFmtId="164" fontId="12" fillId="4" borderId="20" xfId="1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43" fontId="9" fillId="0" borderId="74" xfId="1" applyFont="1" applyFill="1" applyBorder="1" applyAlignment="1">
      <alignment horizontal="center" vertical="center"/>
    </xf>
    <xf numFmtId="43" fontId="9" fillId="0" borderId="75" xfId="1" applyFont="1" applyFill="1" applyBorder="1" applyAlignment="1">
      <alignment horizontal="center" vertical="center"/>
    </xf>
    <xf numFmtId="164" fontId="11" fillId="4" borderId="4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/>
    </xf>
    <xf numFmtId="165" fontId="8" fillId="6" borderId="64" xfId="0" applyNumberFormat="1" applyFont="1" applyFill="1" applyBorder="1" applyAlignment="1">
      <alignment horizontal="center" vertical="center"/>
    </xf>
    <xf numFmtId="165" fontId="11" fillId="0" borderId="44" xfId="1" applyNumberFormat="1" applyFont="1" applyFill="1" applyBorder="1" applyAlignment="1">
      <alignment horizontal="center" vertical="center"/>
    </xf>
    <xf numFmtId="165" fontId="9" fillId="0" borderId="20" xfId="1" applyNumberFormat="1" applyFont="1" applyFill="1" applyBorder="1" applyAlignment="1">
      <alignment horizontal="center" vertical="center"/>
    </xf>
    <xf numFmtId="165" fontId="9" fillId="0" borderId="44" xfId="1" applyNumberFormat="1" applyFont="1" applyFill="1" applyBorder="1" applyAlignment="1">
      <alignment horizontal="center" vertical="center"/>
    </xf>
    <xf numFmtId="14" fontId="9" fillId="4" borderId="22" xfId="1" applyNumberFormat="1" applyFont="1" applyFill="1" applyBorder="1" applyAlignment="1">
      <alignment horizontal="center" vertical="center" wrapText="1"/>
    </xf>
    <xf numFmtId="43" fontId="23" fillId="4" borderId="45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/>
    <xf numFmtId="43" fontId="9" fillId="0" borderId="44" xfId="1" applyNumberFormat="1" applyFont="1" applyFill="1" applyBorder="1" applyAlignment="1">
      <alignment horizontal="center" vertical="center"/>
    </xf>
    <xf numFmtId="43" fontId="0" fillId="0" borderId="76" xfId="1" applyFont="1" applyBorder="1" applyAlignment="1">
      <alignment vertical="center"/>
    </xf>
    <xf numFmtId="43" fontId="42" fillId="4" borderId="22" xfId="1" applyNumberFormat="1" applyFont="1" applyFill="1" applyBorder="1" applyAlignment="1">
      <alignment horizontal="center" vertical="center"/>
    </xf>
    <xf numFmtId="43" fontId="43" fillId="5" borderId="5" xfId="1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left" vertical="center" wrapText="1"/>
    </xf>
    <xf numFmtId="165" fontId="11" fillId="4" borderId="44" xfId="1" applyNumberFormat="1" applyFont="1" applyFill="1" applyBorder="1" applyAlignment="1">
      <alignment vertical="center"/>
    </xf>
    <xf numFmtId="164" fontId="11" fillId="0" borderId="38" xfId="1" applyNumberFormat="1" applyFont="1" applyFill="1" applyBorder="1" applyAlignment="1">
      <alignment horizontal="center" vertical="center"/>
    </xf>
    <xf numFmtId="164" fontId="12" fillId="4" borderId="44" xfId="1" applyNumberFormat="1" applyFont="1" applyFill="1" applyBorder="1" applyAlignment="1">
      <alignment vertical="center"/>
    </xf>
    <xf numFmtId="43" fontId="9" fillId="4" borderId="44" xfId="1" applyFont="1" applyFill="1" applyBorder="1" applyAlignment="1">
      <alignment vertical="center"/>
    </xf>
    <xf numFmtId="43" fontId="44" fillId="4" borderId="44" xfId="1" applyFont="1" applyFill="1" applyBorder="1" applyAlignment="1">
      <alignment horizontal="center" vertical="center"/>
    </xf>
    <xf numFmtId="43" fontId="44" fillId="0" borderId="24" xfId="1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 wrapText="1"/>
    </xf>
    <xf numFmtId="164" fontId="12" fillId="4" borderId="21" xfId="1" applyNumberFormat="1" applyFont="1" applyFill="1" applyBorder="1" applyAlignment="1">
      <alignment horizontal="center" vertical="center" wrapText="1"/>
    </xf>
    <xf numFmtId="165" fontId="9" fillId="0" borderId="45" xfId="1" applyNumberFormat="1" applyFont="1" applyFill="1" applyBorder="1" applyAlignment="1">
      <alignment vertical="center"/>
    </xf>
    <xf numFmtId="165" fontId="8" fillId="8" borderId="45" xfId="1" applyNumberFormat="1" applyFont="1" applyFill="1" applyBorder="1" applyAlignment="1">
      <alignment horizontal="center" vertical="center"/>
    </xf>
    <xf numFmtId="165" fontId="14" fillId="11" borderId="11" xfId="1" applyNumberFormat="1" applyFont="1" applyFill="1" applyBorder="1" applyAlignment="1">
      <alignment horizontal="center" vertical="center"/>
    </xf>
    <xf numFmtId="165" fontId="9" fillId="4" borderId="44" xfId="1" applyNumberFormat="1" applyFont="1" applyFill="1" applyBorder="1" applyAlignment="1">
      <alignment horizontal="center" vertical="center"/>
    </xf>
    <xf numFmtId="43" fontId="19" fillId="0" borderId="32" xfId="0" applyNumberFormat="1" applyFont="1" applyFill="1" applyBorder="1" applyAlignment="1">
      <alignment vertical="center" wrapText="1"/>
    </xf>
    <xf numFmtId="43" fontId="8" fillId="8" borderId="32" xfId="1" applyFont="1" applyFill="1" applyBorder="1" applyAlignment="1">
      <alignment horizontal="center" vertical="center"/>
    </xf>
    <xf numFmtId="43" fontId="13" fillId="22" borderId="10" xfId="1" applyFont="1" applyFill="1" applyBorder="1" applyAlignment="1">
      <alignment horizontal="center" vertical="center"/>
    </xf>
    <xf numFmtId="43" fontId="8" fillId="11" borderId="4" xfId="0" applyNumberFormat="1" applyFont="1" applyFill="1" applyBorder="1" applyAlignment="1">
      <alignment horizontal="center" vertical="center"/>
    </xf>
    <xf numFmtId="43" fontId="8" fillId="17" borderId="4" xfId="1" applyFont="1" applyFill="1" applyBorder="1" applyAlignment="1">
      <alignment horizontal="center" vertical="center"/>
    </xf>
    <xf numFmtId="43" fontId="9" fillId="17" borderId="4" xfId="0" applyNumberFormat="1" applyFont="1" applyFill="1" applyBorder="1" applyAlignment="1">
      <alignment horizontal="center" vertical="center"/>
    </xf>
    <xf numFmtId="2" fontId="9" fillId="17" borderId="2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164" fontId="8" fillId="6" borderId="0" xfId="0" applyNumberFormat="1" applyFont="1" applyFill="1" applyBorder="1" applyAlignment="1">
      <alignment horizontal="center" vertical="center"/>
    </xf>
    <xf numFmtId="43" fontId="0" fillId="0" borderId="76" xfId="1" applyFont="1" applyBorder="1" applyAlignment="1">
      <alignment horizontal="left" vertical="center"/>
    </xf>
    <xf numFmtId="43" fontId="12" fillId="4" borderId="22" xfId="1" applyFont="1" applyFill="1" applyBorder="1" applyAlignment="1">
      <alignment horizontal="center" vertical="center" wrapText="1"/>
    </xf>
    <xf numFmtId="43" fontId="0" fillId="0" borderId="76" xfId="1" applyFont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164" fontId="9" fillId="0" borderId="77" xfId="1" applyNumberFormat="1" applyFont="1" applyFill="1" applyBorder="1" applyAlignment="1">
      <alignment horizontal="center" vertical="center" wrapText="1"/>
    </xf>
    <xf numFmtId="164" fontId="9" fillId="4" borderId="77" xfId="1" applyNumberFormat="1" applyFont="1" applyFill="1" applyBorder="1" applyAlignment="1">
      <alignment horizontal="center" vertical="center" wrapText="1"/>
    </xf>
    <xf numFmtId="164" fontId="9" fillId="4" borderId="38" xfId="1" applyNumberFormat="1" applyFont="1" applyFill="1" applyBorder="1" applyAlignment="1">
      <alignment horizontal="center" vertical="center" wrapText="1"/>
    </xf>
    <xf numFmtId="37" fontId="9" fillId="4" borderId="38" xfId="1" applyNumberFormat="1" applyFont="1" applyFill="1" applyBorder="1" applyAlignment="1">
      <alignment horizontal="center" vertical="center"/>
    </xf>
    <xf numFmtId="37" fontId="9" fillId="4" borderId="34" xfId="1" applyNumberFormat="1" applyFont="1" applyFill="1" applyBorder="1" applyAlignment="1">
      <alignment horizontal="center" vertical="center"/>
    </xf>
    <xf numFmtId="14" fontId="9" fillId="4" borderId="34" xfId="1" applyNumberFormat="1" applyFont="1" applyFill="1" applyBorder="1" applyAlignment="1">
      <alignment horizontal="center" vertical="center"/>
    </xf>
    <xf numFmtId="14" fontId="9" fillId="4" borderId="2" xfId="1" applyNumberFormat="1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vertical="center"/>
    </xf>
    <xf numFmtId="0" fontId="21" fillId="4" borderId="55" xfId="0" applyFont="1" applyFill="1" applyBorder="1" applyAlignment="1">
      <alignment horizontal="center" vertical="center"/>
    </xf>
    <xf numFmtId="164" fontId="12" fillId="0" borderId="78" xfId="1" applyNumberFormat="1" applyFont="1" applyFill="1" applyBorder="1" applyAlignment="1">
      <alignment horizontal="center" vertical="center"/>
    </xf>
    <xf numFmtId="164" fontId="23" fillId="0" borderId="78" xfId="1" applyNumberFormat="1" applyFont="1" applyFill="1" applyBorder="1" applyAlignment="1">
      <alignment horizontal="center" vertical="center"/>
    </xf>
    <xf numFmtId="164" fontId="12" fillId="4" borderId="78" xfId="1" applyNumberFormat="1" applyFont="1" applyFill="1" applyBorder="1" applyAlignment="1">
      <alignment vertical="center"/>
    </xf>
    <xf numFmtId="164" fontId="23" fillId="4" borderId="78" xfId="1" applyNumberFormat="1" applyFont="1" applyFill="1" applyBorder="1" applyAlignment="1">
      <alignment vertical="center"/>
    </xf>
    <xf numFmtId="164" fontId="12" fillId="4" borderId="78" xfId="1" applyNumberFormat="1" applyFont="1" applyFill="1" applyBorder="1" applyAlignment="1">
      <alignment horizontal="center" vertical="center"/>
    </xf>
    <xf numFmtId="164" fontId="23" fillId="4" borderId="78" xfId="1" applyNumberFormat="1" applyFont="1" applyFill="1" applyBorder="1" applyAlignment="1">
      <alignment horizontal="center" vertical="center"/>
    </xf>
    <xf numFmtId="164" fontId="12" fillId="4" borderId="79" xfId="1" applyNumberFormat="1" applyFont="1" applyFill="1" applyBorder="1" applyAlignment="1">
      <alignment horizontal="center" vertical="center"/>
    </xf>
    <xf numFmtId="43" fontId="42" fillId="4" borderId="80" xfId="1" applyNumberFormat="1" applyFont="1" applyFill="1" applyBorder="1" applyAlignment="1">
      <alignment horizontal="center" vertical="center"/>
    </xf>
    <xf numFmtId="164" fontId="12" fillId="0" borderId="81" xfId="1" applyNumberFormat="1" applyFont="1" applyFill="1" applyBorder="1" applyAlignment="1">
      <alignment horizontal="center" vertical="center"/>
    </xf>
    <xf numFmtId="164" fontId="23" fillId="0" borderId="81" xfId="1" applyNumberFormat="1" applyFont="1" applyFill="1" applyBorder="1" applyAlignment="1">
      <alignment horizontal="center" vertical="center"/>
    </xf>
    <xf numFmtId="164" fontId="12" fillId="4" borderId="81" xfId="1" applyNumberFormat="1" applyFont="1" applyFill="1" applyBorder="1" applyAlignment="1">
      <alignment vertical="center"/>
    </xf>
    <xf numFmtId="164" fontId="23" fillId="4" borderId="81" xfId="1" applyNumberFormat="1" applyFont="1" applyFill="1" applyBorder="1" applyAlignment="1">
      <alignment vertical="center"/>
    </xf>
    <xf numFmtId="164" fontId="12" fillId="4" borderId="81" xfId="1" applyNumberFormat="1" applyFont="1" applyFill="1" applyBorder="1" applyAlignment="1">
      <alignment horizontal="center" vertical="center"/>
    </xf>
    <xf numFmtId="164" fontId="23" fillId="4" borderId="81" xfId="1" applyNumberFormat="1" applyFont="1" applyFill="1" applyBorder="1" applyAlignment="1">
      <alignment horizontal="center" vertical="center"/>
    </xf>
    <xf numFmtId="164" fontId="12" fillId="4" borderId="69" xfId="1" applyNumberFormat="1" applyFont="1" applyFill="1" applyBorder="1" applyAlignment="1">
      <alignment horizontal="center" vertical="center"/>
    </xf>
    <xf numFmtId="43" fontId="42" fillId="4" borderId="82" xfId="1" applyNumberFormat="1" applyFont="1" applyFill="1" applyBorder="1" applyAlignment="1">
      <alignment horizontal="center" vertical="center"/>
    </xf>
    <xf numFmtId="164" fontId="12" fillId="0" borderId="69" xfId="1" applyNumberFormat="1" applyFont="1" applyFill="1" applyBorder="1" applyAlignment="1">
      <alignment horizontal="center" vertical="center"/>
    </xf>
    <xf numFmtId="164" fontId="12" fillId="4" borderId="69" xfId="1" applyNumberFormat="1" applyFont="1" applyFill="1" applyBorder="1" applyAlignment="1">
      <alignment vertical="center"/>
    </xf>
    <xf numFmtId="164" fontId="23" fillId="4" borderId="69" xfId="1" applyNumberFormat="1" applyFont="1" applyFill="1" applyBorder="1" applyAlignment="1">
      <alignment vertical="center"/>
    </xf>
    <xf numFmtId="164" fontId="23" fillId="4" borderId="69" xfId="1" applyNumberFormat="1" applyFont="1" applyFill="1" applyBorder="1" applyAlignment="1">
      <alignment horizontal="center" vertical="center"/>
    </xf>
    <xf numFmtId="165" fontId="23" fillId="4" borderId="83" xfId="1" applyNumberFormat="1" applyFont="1" applyFill="1" applyBorder="1" applyAlignment="1">
      <alignment horizontal="center" vertical="center"/>
    </xf>
    <xf numFmtId="165" fontId="23" fillId="0" borderId="83" xfId="1" applyNumberFormat="1" applyFont="1" applyFill="1" applyBorder="1" applyAlignment="1">
      <alignment horizontal="center" vertical="center"/>
    </xf>
    <xf numFmtId="164" fontId="23" fillId="0" borderId="83" xfId="1" applyNumberFormat="1" applyFont="1" applyFill="1" applyBorder="1" applyAlignment="1">
      <alignment horizontal="center" vertical="center"/>
    </xf>
    <xf numFmtId="164" fontId="23" fillId="4" borderId="83" xfId="1" applyNumberFormat="1" applyFont="1" applyFill="1" applyBorder="1" applyAlignment="1">
      <alignment horizontal="center" vertical="center"/>
    </xf>
    <xf numFmtId="164" fontId="23" fillId="4" borderId="84" xfId="1" applyNumberFormat="1" applyFont="1" applyFill="1" applyBorder="1" applyAlignment="1">
      <alignment horizontal="center" vertical="center"/>
    </xf>
    <xf numFmtId="164" fontId="42" fillId="4" borderId="85" xfId="1" applyNumberFormat="1" applyFont="1" applyFill="1" applyBorder="1" applyAlignment="1">
      <alignment horizontal="center" vertical="center"/>
    </xf>
    <xf numFmtId="0" fontId="21" fillId="4" borderId="86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left" vertical="center" wrapText="1"/>
    </xf>
    <xf numFmtId="164" fontId="12" fillId="11" borderId="79" xfId="1" applyNumberFormat="1" applyFont="1" applyFill="1" applyBorder="1" applyAlignment="1">
      <alignment horizontal="center" vertical="center"/>
    </xf>
    <xf numFmtId="164" fontId="11" fillId="4" borderId="79" xfId="1" applyNumberFormat="1" applyFont="1" applyFill="1" applyBorder="1" applyAlignment="1">
      <alignment horizontal="center" vertical="center"/>
    </xf>
    <xf numFmtId="0" fontId="21" fillId="4" borderId="87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left" vertical="center" wrapText="1"/>
    </xf>
    <xf numFmtId="164" fontId="12" fillId="11" borderId="69" xfId="1" applyNumberFormat="1" applyFont="1" applyFill="1" applyBorder="1" applyAlignment="1">
      <alignment horizontal="center" vertical="center"/>
    </xf>
    <xf numFmtId="164" fontId="11" fillId="4" borderId="69" xfId="1" applyNumberFormat="1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/>
    </xf>
    <xf numFmtId="0" fontId="21" fillId="4" borderId="84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vertical="center" wrapText="1"/>
    </xf>
    <xf numFmtId="165" fontId="23" fillId="11" borderId="84" xfId="1" applyNumberFormat="1" applyFont="1" applyFill="1" applyBorder="1" applyAlignment="1">
      <alignment horizontal="center" vertical="center"/>
    </xf>
    <xf numFmtId="165" fontId="23" fillId="4" borderId="84" xfId="1" applyNumberFormat="1" applyFont="1" applyFill="1" applyBorder="1" applyAlignment="1">
      <alignment horizontal="center" vertical="center"/>
    </xf>
    <xf numFmtId="164" fontId="0" fillId="0" borderId="84" xfId="1" applyNumberFormat="1" applyFont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43" fontId="9" fillId="0" borderId="1" xfId="1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vertical="center"/>
    </xf>
    <xf numFmtId="43" fontId="19" fillId="0" borderId="2" xfId="0" applyNumberFormat="1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/>
    </xf>
    <xf numFmtId="164" fontId="2" fillId="0" borderId="71" xfId="1" applyNumberFormat="1" applyFont="1" applyBorder="1" applyAlignment="1">
      <alignment vertical="center"/>
    </xf>
    <xf numFmtId="164" fontId="2" fillId="0" borderId="20" xfId="1" applyNumberFormat="1" applyFont="1" applyBorder="1" applyAlignment="1">
      <alignment vertical="center"/>
    </xf>
    <xf numFmtId="43" fontId="3" fillId="0" borderId="0" xfId="1" applyFon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165" fontId="8" fillId="17" borderId="28" xfId="1" applyNumberFormat="1" applyFont="1" applyFill="1" applyBorder="1" applyAlignment="1">
      <alignment horizontal="center" vertical="center"/>
    </xf>
    <xf numFmtId="165" fontId="8" fillId="22" borderId="5" xfId="0" applyNumberFormat="1" applyFont="1" applyFill="1" applyBorder="1" applyAlignment="1">
      <alignment horizontal="center" vertical="center"/>
    </xf>
    <xf numFmtId="165" fontId="9" fillId="4" borderId="38" xfId="1" applyNumberFormat="1" applyFont="1" applyFill="1" applyBorder="1" applyAlignment="1">
      <alignment horizontal="center" vertical="center"/>
    </xf>
    <xf numFmtId="165" fontId="9" fillId="0" borderId="38" xfId="1" applyNumberFormat="1" applyFont="1" applyFill="1" applyBorder="1" applyAlignment="1">
      <alignment horizontal="center" vertical="center"/>
    </xf>
    <xf numFmtId="165" fontId="10" fillId="14" borderId="11" xfId="1" applyNumberFormat="1" applyFont="1" applyFill="1" applyBorder="1" applyAlignment="1">
      <alignment horizontal="center" vertical="center"/>
    </xf>
    <xf numFmtId="165" fontId="8" fillId="14" borderId="11" xfId="1" applyNumberFormat="1" applyFont="1" applyFill="1" applyBorder="1" applyAlignment="1">
      <alignment horizontal="center" vertical="center"/>
    </xf>
    <xf numFmtId="43" fontId="12" fillId="4" borderId="1" xfId="1" applyNumberFormat="1" applyFont="1" applyFill="1" applyBorder="1" applyAlignment="1">
      <alignment vertical="center"/>
    </xf>
    <xf numFmtId="43" fontId="10" fillId="17" borderId="43" xfId="0" applyNumberFormat="1" applyFont="1" applyFill="1" applyBorder="1" applyAlignment="1">
      <alignment horizontal="center" vertical="center"/>
    </xf>
    <xf numFmtId="166" fontId="11" fillId="0" borderId="16" xfId="1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43" fontId="11" fillId="0" borderId="45" xfId="1" applyNumberFormat="1" applyFont="1" applyFill="1" applyBorder="1" applyAlignment="1">
      <alignment vertical="center"/>
    </xf>
    <xf numFmtId="43" fontId="11" fillId="0" borderId="79" xfId="1" applyNumberFormat="1" applyFont="1" applyFill="1" applyBorder="1" applyAlignment="1">
      <alignment vertical="center"/>
    </xf>
    <xf numFmtId="43" fontId="8" fillId="8" borderId="45" xfId="0" applyNumberFormat="1" applyFont="1" applyFill="1" applyBorder="1" applyAlignment="1">
      <alignment horizontal="center" vertical="center"/>
    </xf>
    <xf numFmtId="43" fontId="8" fillId="8" borderId="4" xfId="0" applyNumberFormat="1" applyFont="1" applyFill="1" applyBorder="1" applyAlignment="1">
      <alignment horizontal="center" vertical="center"/>
    </xf>
    <xf numFmtId="43" fontId="10" fillId="14" borderId="11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top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top" wrapText="1"/>
    </xf>
    <xf numFmtId="0" fontId="25" fillId="0" borderId="4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wrapText="1"/>
    </xf>
    <xf numFmtId="0" fontId="4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3" borderId="50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left" vertical="center"/>
    </xf>
    <xf numFmtId="0" fontId="8" fillId="8" borderId="46" xfId="0" applyFont="1" applyFill="1" applyBorder="1" applyAlignment="1">
      <alignment horizontal="left" vertical="center"/>
    </xf>
    <xf numFmtId="0" fontId="13" fillId="3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/>
    </xf>
    <xf numFmtId="0" fontId="8" fillId="8" borderId="61" xfId="0" applyFont="1" applyFill="1" applyBorder="1" applyAlignment="1">
      <alignment horizontal="left" vertical="center"/>
    </xf>
    <xf numFmtId="0" fontId="13" fillId="14" borderId="12" xfId="0" applyFont="1" applyFill="1" applyBorder="1" applyAlignment="1">
      <alignment horizontal="left" vertical="center"/>
    </xf>
    <xf numFmtId="0" fontId="13" fillId="14" borderId="43" xfId="0" applyFont="1" applyFill="1" applyBorder="1" applyAlignment="1">
      <alignment horizontal="left" vertical="center"/>
    </xf>
    <xf numFmtId="164" fontId="22" fillId="0" borderId="58" xfId="0" applyNumberFormat="1" applyFont="1" applyBorder="1" applyAlignment="1">
      <alignment horizontal="center"/>
    </xf>
    <xf numFmtId="0" fontId="13" fillId="20" borderId="35" xfId="0" applyFont="1" applyFill="1" applyBorder="1" applyAlignment="1">
      <alignment horizontal="center" vertical="center" wrapText="1"/>
    </xf>
    <xf numFmtId="0" fontId="13" fillId="20" borderId="7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/>
    </xf>
    <xf numFmtId="0" fontId="35" fillId="7" borderId="43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8" fillId="20" borderId="35" xfId="0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6" borderId="28" xfId="0" applyFont="1" applyFill="1" applyBorder="1" applyAlignment="1">
      <alignment horizontal="left" vertical="center"/>
    </xf>
    <xf numFmtId="0" fontId="21" fillId="6" borderId="39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center" vertical="center" wrapText="1"/>
    </xf>
    <xf numFmtId="0" fontId="8" fillId="6" borderId="70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165" fontId="8" fillId="6" borderId="49" xfId="0" applyNumberFormat="1" applyFont="1" applyFill="1" applyBorder="1" applyAlignment="1">
      <alignment horizontal="center" vertical="center"/>
    </xf>
    <xf numFmtId="165" fontId="8" fillId="6" borderId="64" xfId="0" applyNumberFormat="1" applyFont="1" applyFill="1" applyBorder="1" applyAlignment="1">
      <alignment horizontal="center" vertical="center"/>
    </xf>
    <xf numFmtId="165" fontId="8" fillId="6" borderId="35" xfId="0" applyNumberFormat="1" applyFont="1" applyFill="1" applyBorder="1" applyAlignment="1">
      <alignment horizontal="center" vertical="center" wrapText="1"/>
    </xf>
    <xf numFmtId="165" fontId="8" fillId="6" borderId="7" xfId="0" applyNumberFormat="1" applyFont="1" applyFill="1" applyBorder="1" applyAlignment="1">
      <alignment horizontal="center" vertical="center" wrapText="1"/>
    </xf>
    <xf numFmtId="164" fontId="8" fillId="6" borderId="73" xfId="1" applyNumberFormat="1" applyFont="1" applyFill="1" applyBorder="1" applyAlignment="1">
      <alignment horizontal="center" vertical="center" wrapText="1"/>
    </xf>
    <xf numFmtId="164" fontId="8" fillId="6" borderId="9" xfId="1" applyNumberFormat="1" applyFont="1" applyFill="1" applyBorder="1" applyAlignment="1">
      <alignment horizontal="center" vertical="center" wrapText="1"/>
    </xf>
    <xf numFmtId="14" fontId="12" fillId="4" borderId="44" xfId="1" quotePrefix="1" applyNumberFormat="1" applyFont="1" applyFill="1" applyBorder="1" applyAlignment="1">
      <alignment horizontal="center" vertical="center" wrapText="1"/>
    </xf>
    <xf numFmtId="14" fontId="9" fillId="4" borderId="38" xfId="1" applyNumberFormat="1" applyFont="1" applyFill="1" applyBorder="1" applyAlignment="1">
      <alignment horizontal="center" vertical="center"/>
    </xf>
    <xf numFmtId="165" fontId="11" fillId="0" borderId="20" xfId="1" applyNumberFormat="1" applyFont="1" applyFill="1" applyBorder="1" applyAlignment="1">
      <alignment vertical="center"/>
    </xf>
  </cellXfs>
  <cellStyles count="5">
    <cellStyle name="Comma" xfId="1" builtinId="3"/>
    <cellStyle name="Comma [0] 2" xfId="2"/>
    <cellStyle name="Normal" xfId="0" builtinId="0"/>
    <cellStyle name="Normal 2" xfId="3"/>
    <cellStyle name="Normal 22" xf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9/PRIM%202019/RUTIN%20PRIM%202019/Swakelola%20PRIM%202019/SHEDULLE%20swakelola%20p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OPER"/>
      <sheetName val="Schidulle GAB"/>
      <sheetName val="form lap keu"/>
      <sheetName val="REKAP"/>
      <sheetName val="RAB EDIT"/>
      <sheetName val="DAMIJA"/>
      <sheetName val="NOR.SAL"/>
      <sheetName val="GORONG2"/>
      <sheetName val="JEMBATAN"/>
      <sheetName val="CAT BOOG"/>
      <sheetName val="CAT RELLING"/>
      <sheetName val="TIMBUNAN"/>
      <sheetName val="PAS. BATU"/>
      <sheetName val="RABAT"/>
      <sheetName val="KLS S"/>
      <sheetName val="KLS A"/>
      <sheetName val="BURAS"/>
      <sheetName val="PATCHING"/>
      <sheetName val="GELOGOR"/>
      <sheetName val="BELJAGA"/>
      <sheetName val="BELBARU"/>
      <sheetName val="GUMISE"/>
      <sheetName val="KBNTALO"/>
      <sheetName val="GANJAR"/>
      <sheetName val="GARU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1">
          <cell r="F61">
            <v>1478708</v>
          </cell>
        </row>
      </sheetData>
      <sheetData sheetId="19">
        <row r="59">
          <cell r="F59">
            <v>0</v>
          </cell>
        </row>
        <row r="65">
          <cell r="F65">
            <v>53580095.689999998</v>
          </cell>
        </row>
      </sheetData>
      <sheetData sheetId="20"/>
      <sheetData sheetId="21"/>
      <sheetData sheetId="22">
        <row r="63">
          <cell r="F63">
            <v>54531931.134999998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U37"/>
  <sheetViews>
    <sheetView view="pageBreakPreview" topLeftCell="A25" zoomScale="96" zoomScaleSheetLayoutView="96" workbookViewId="0">
      <selection activeCell="I30" sqref="I30"/>
    </sheetView>
  </sheetViews>
  <sheetFormatPr defaultRowHeight="12.75"/>
  <cols>
    <col min="1" max="1" width="1" customWidth="1"/>
    <col min="2" max="2" width="5.5703125" customWidth="1"/>
    <col min="3" max="3" width="7" customWidth="1"/>
    <col min="4" max="4" width="44.28515625" style="1" customWidth="1"/>
    <col min="5" max="5" width="9.85546875" customWidth="1"/>
    <col min="6" max="6" width="9.140625" customWidth="1"/>
    <col min="7" max="7" width="9.42578125" customWidth="1"/>
    <col min="8" max="8" width="18.7109375" customWidth="1"/>
    <col min="9" max="9" width="19.140625" customWidth="1"/>
    <col min="10" max="10" width="15.7109375" customWidth="1"/>
    <col min="11" max="11" width="15" customWidth="1"/>
    <col min="12" max="12" width="22.5703125" customWidth="1"/>
    <col min="13" max="13" width="10.42578125" customWidth="1"/>
    <col min="14" max="14" width="12.85546875" hidden="1" customWidth="1"/>
    <col min="15" max="15" width="10.85546875" customWidth="1"/>
    <col min="16" max="16" width="12.85546875" hidden="1" customWidth="1"/>
    <col min="17" max="17" width="12" customWidth="1"/>
    <col min="18" max="18" width="28.28515625" customWidth="1"/>
  </cols>
  <sheetData>
    <row r="1" spans="2:21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21" ht="22.5" customHeight="1">
      <c r="B2" s="441" t="s">
        <v>125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2"/>
      <c r="S2" s="2"/>
      <c r="T2" s="2"/>
      <c r="U2" s="2"/>
    </row>
    <row r="3" spans="2:21" ht="18">
      <c r="B3" s="442" t="s">
        <v>92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3"/>
      <c r="S3" s="3"/>
      <c r="T3" s="3"/>
      <c r="U3" s="3"/>
    </row>
    <row r="4" spans="2:21" ht="18">
      <c r="B4" s="443" t="s">
        <v>126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"/>
      <c r="S4" s="4"/>
      <c r="T4" s="4"/>
      <c r="U4" s="4"/>
    </row>
    <row r="5" spans="2:21" ht="18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4"/>
      <c r="S5" s="4"/>
      <c r="T5" s="4"/>
      <c r="U5" s="4"/>
    </row>
    <row r="6" spans="2:21" ht="18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4"/>
      <c r="S6" s="4"/>
      <c r="T6" s="4"/>
      <c r="U6" s="4"/>
    </row>
    <row r="7" spans="2:21" ht="18" customHeight="1" thickBot="1">
      <c r="B7" s="18"/>
      <c r="C7" s="18"/>
      <c r="D7" s="2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21" ht="31.15" customHeight="1">
      <c r="B8" s="444" t="s">
        <v>0</v>
      </c>
      <c r="C8" s="446" t="s">
        <v>9</v>
      </c>
      <c r="D8" s="446" t="s">
        <v>16</v>
      </c>
      <c r="E8" s="448" t="s">
        <v>71</v>
      </c>
      <c r="F8" s="449"/>
      <c r="G8" s="450"/>
      <c r="H8" s="448" t="s">
        <v>86</v>
      </c>
      <c r="I8" s="450"/>
      <c r="J8" s="431" t="s">
        <v>5</v>
      </c>
      <c r="K8" s="431" t="s">
        <v>6</v>
      </c>
      <c r="L8" s="431" t="s">
        <v>96</v>
      </c>
      <c r="M8" s="433" t="s">
        <v>17</v>
      </c>
      <c r="N8" s="434"/>
      <c r="O8" s="433" t="s">
        <v>21</v>
      </c>
      <c r="P8" s="434"/>
      <c r="Q8" s="439" t="s">
        <v>28</v>
      </c>
    </row>
    <row r="9" spans="2:21" ht="29.25" customHeight="1">
      <c r="B9" s="445"/>
      <c r="C9" s="447"/>
      <c r="D9" s="447"/>
      <c r="E9" s="252" t="s">
        <v>72</v>
      </c>
      <c r="F9" s="241" t="s">
        <v>69</v>
      </c>
      <c r="G9" s="241" t="s">
        <v>91</v>
      </c>
      <c r="H9" s="253" t="s">
        <v>87</v>
      </c>
      <c r="I9" s="254" t="s">
        <v>85</v>
      </c>
      <c r="J9" s="432"/>
      <c r="K9" s="432"/>
      <c r="L9" s="432"/>
      <c r="M9" s="435"/>
      <c r="N9" s="436"/>
      <c r="O9" s="435"/>
      <c r="P9" s="436"/>
      <c r="Q9" s="440"/>
    </row>
    <row r="10" spans="2:21" ht="15" customHeight="1">
      <c r="B10" s="5">
        <v>1</v>
      </c>
      <c r="C10" s="250">
        <v>2</v>
      </c>
      <c r="D10" s="6">
        <v>3</v>
      </c>
      <c r="E10" s="6">
        <v>4</v>
      </c>
      <c r="F10" s="282">
        <v>5</v>
      </c>
      <c r="G10" s="282">
        <v>6</v>
      </c>
      <c r="H10" s="282">
        <v>7</v>
      </c>
      <c r="I10" s="282">
        <v>8</v>
      </c>
      <c r="J10" s="282">
        <v>9</v>
      </c>
      <c r="K10" s="282">
        <v>10</v>
      </c>
      <c r="L10" s="282">
        <v>11</v>
      </c>
      <c r="M10" s="282">
        <v>12</v>
      </c>
      <c r="N10" s="282"/>
      <c r="O10" s="282">
        <v>13</v>
      </c>
      <c r="P10" s="282"/>
      <c r="Q10" s="7">
        <v>14</v>
      </c>
    </row>
    <row r="11" spans="2:21" ht="13.5" customHeight="1">
      <c r="B11" s="8"/>
      <c r="C11" s="27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21" ht="21" customHeight="1">
      <c r="B12" s="31" t="s">
        <v>14</v>
      </c>
      <c r="C12" s="19" t="s">
        <v>8</v>
      </c>
      <c r="D12" s="255"/>
      <c r="E12" s="20"/>
      <c r="F12" s="21"/>
      <c r="G12" s="21"/>
      <c r="H12" s="20"/>
      <c r="I12" s="20"/>
      <c r="J12" s="20"/>
      <c r="K12" s="20"/>
      <c r="L12" s="20"/>
      <c r="M12" s="20"/>
      <c r="N12" s="34"/>
      <c r="O12" s="34"/>
      <c r="P12" s="34"/>
      <c r="Q12" s="23"/>
    </row>
    <row r="13" spans="2:21" ht="9.75" customHeight="1">
      <c r="B13" s="13"/>
      <c r="C13" s="28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5"/>
    </row>
    <row r="14" spans="2:21" ht="44.25" customHeight="1">
      <c r="B14" s="199">
        <v>1</v>
      </c>
      <c r="C14" s="251" t="s">
        <v>107</v>
      </c>
      <c r="D14" s="437" t="s">
        <v>108</v>
      </c>
      <c r="E14" s="247">
        <v>4.3</v>
      </c>
      <c r="F14" s="247">
        <v>27.98</v>
      </c>
      <c r="G14" s="247">
        <f>F14</f>
        <v>27.98</v>
      </c>
      <c r="H14" s="312">
        <v>10207000000</v>
      </c>
      <c r="I14" s="342">
        <v>9944592000</v>
      </c>
      <c r="J14" s="328" t="s">
        <v>109</v>
      </c>
      <c r="K14" s="328" t="s">
        <v>110</v>
      </c>
      <c r="L14" s="283" t="s">
        <v>132</v>
      </c>
      <c r="M14" s="258">
        <v>180</v>
      </c>
      <c r="N14" s="258">
        <v>530</v>
      </c>
      <c r="O14" s="284" t="s">
        <v>101</v>
      </c>
      <c r="P14" s="259">
        <v>42010</v>
      </c>
      <c r="Q14" s="343" t="s">
        <v>111</v>
      </c>
    </row>
    <row r="15" spans="2:21" ht="41.25" customHeight="1">
      <c r="B15" s="199"/>
      <c r="C15" s="251"/>
      <c r="D15" s="438"/>
      <c r="E15" s="247"/>
      <c r="F15" s="247"/>
      <c r="G15" s="247"/>
      <c r="H15" s="312"/>
      <c r="I15" s="342"/>
      <c r="J15" s="328"/>
      <c r="K15" s="328"/>
      <c r="L15" s="283" t="s">
        <v>142</v>
      </c>
      <c r="M15" s="258"/>
      <c r="N15" s="258">
        <v>530</v>
      </c>
      <c r="O15" s="259"/>
      <c r="P15" s="259">
        <v>42010</v>
      </c>
      <c r="Q15" s="260"/>
    </row>
    <row r="16" spans="2:21" ht="31.5" customHeight="1">
      <c r="B16" s="199"/>
      <c r="C16" s="251"/>
      <c r="D16" s="428"/>
      <c r="E16" s="529">
        <f>2.051+2.199</f>
        <v>4.25</v>
      </c>
      <c r="F16" s="529">
        <v>27.779</v>
      </c>
      <c r="G16" s="247">
        <f>F16</f>
        <v>27.779</v>
      </c>
      <c r="H16" s="312">
        <v>10207000000</v>
      </c>
      <c r="I16" s="342">
        <f>H16</f>
        <v>10207000000</v>
      </c>
      <c r="J16" s="328" t="s">
        <v>109</v>
      </c>
      <c r="K16" s="328" t="s">
        <v>110</v>
      </c>
      <c r="L16" s="283" t="s">
        <v>133</v>
      </c>
      <c r="M16" s="258"/>
      <c r="N16" s="258"/>
      <c r="O16" s="259"/>
      <c r="P16" s="259"/>
      <c r="Q16" s="260"/>
    </row>
    <row r="17" spans="2:17" ht="21.75" customHeight="1">
      <c r="B17" s="199"/>
      <c r="C17" s="251"/>
      <c r="D17" s="30"/>
      <c r="E17" s="247"/>
      <c r="F17" s="247"/>
      <c r="G17" s="247"/>
      <c r="H17" s="256"/>
      <c r="I17" s="342"/>
      <c r="J17" s="257"/>
      <c r="K17" s="257"/>
      <c r="L17" s="527" t="s">
        <v>143</v>
      </c>
      <c r="M17" s="258"/>
      <c r="N17" s="258"/>
      <c r="O17" s="259"/>
      <c r="P17" s="259"/>
      <c r="Q17" s="260"/>
    </row>
    <row r="18" spans="2:17" ht="45.75" customHeight="1">
      <c r="B18" s="199">
        <v>2</v>
      </c>
      <c r="C18" s="251" t="s">
        <v>113</v>
      </c>
      <c r="D18" s="429" t="s">
        <v>112</v>
      </c>
      <c r="E18" s="247">
        <v>6.4710000000000001</v>
      </c>
      <c r="F18" s="247">
        <v>22.881</v>
      </c>
      <c r="G18" s="247">
        <f>F18</f>
        <v>22.881</v>
      </c>
      <c r="H18" s="312">
        <v>18072000000</v>
      </c>
      <c r="I18" s="342">
        <v>17616271000</v>
      </c>
      <c r="J18" s="286" t="s">
        <v>102</v>
      </c>
      <c r="K18" s="328" t="s">
        <v>114</v>
      </c>
      <c r="L18" s="283" t="s">
        <v>135</v>
      </c>
      <c r="M18" s="258">
        <v>180</v>
      </c>
      <c r="N18" s="258">
        <f t="shared" ref="N18" si="0">M18-8</f>
        <v>172</v>
      </c>
      <c r="O18" s="284" t="s">
        <v>101</v>
      </c>
      <c r="P18" s="259">
        <v>42010</v>
      </c>
      <c r="Q18" s="343" t="s">
        <v>111</v>
      </c>
    </row>
    <row r="19" spans="2:17" ht="27.75" customHeight="1">
      <c r="B19" s="199"/>
      <c r="C19" s="251"/>
      <c r="D19" s="430"/>
      <c r="E19" s="247"/>
      <c r="F19" s="247"/>
      <c r="G19" s="247"/>
      <c r="H19" s="261"/>
      <c r="I19" s="262"/>
      <c r="J19" s="257"/>
      <c r="K19" s="257"/>
      <c r="L19" s="283" t="s">
        <v>142</v>
      </c>
      <c r="M19" s="258"/>
      <c r="N19" s="258"/>
      <c r="O19" s="259"/>
      <c r="P19" s="259">
        <v>42010</v>
      </c>
      <c r="Q19" s="260"/>
    </row>
    <row r="20" spans="2:17" ht="36" customHeight="1">
      <c r="B20" s="199"/>
      <c r="C20" s="251"/>
      <c r="D20" s="427"/>
      <c r="E20" s="529">
        <v>6.4889999999999999</v>
      </c>
      <c r="F20" s="529">
        <v>23.402999999999999</v>
      </c>
      <c r="G20" s="247">
        <f>F20</f>
        <v>23.402999999999999</v>
      </c>
      <c r="H20" s="312">
        <v>18072000000</v>
      </c>
      <c r="I20" s="342">
        <f>H20</f>
        <v>18072000000</v>
      </c>
      <c r="J20" s="286" t="s">
        <v>102</v>
      </c>
      <c r="K20" s="328" t="s">
        <v>114</v>
      </c>
      <c r="L20" s="283" t="s">
        <v>134</v>
      </c>
      <c r="M20" s="258"/>
      <c r="N20" s="258"/>
      <c r="O20" s="528"/>
      <c r="P20" s="259"/>
      <c r="Q20" s="260"/>
    </row>
    <row r="21" spans="2:17" ht="22.5" customHeight="1">
      <c r="B21" s="199"/>
      <c r="C21" s="251"/>
      <c r="D21" s="30"/>
      <c r="E21" s="247"/>
      <c r="F21" s="247"/>
      <c r="G21" s="247"/>
      <c r="H21" s="256"/>
      <c r="I21" s="256"/>
      <c r="J21" s="257"/>
      <c r="K21" s="257"/>
      <c r="L21" s="527" t="s">
        <v>143</v>
      </c>
      <c r="M21" s="258"/>
      <c r="N21" s="258"/>
      <c r="O21" s="284"/>
      <c r="P21" s="259"/>
      <c r="Q21" s="306"/>
    </row>
    <row r="22" spans="2:17" ht="47.25" customHeight="1">
      <c r="B22" s="199">
        <v>3</v>
      </c>
      <c r="C22" s="251" t="s">
        <v>116</v>
      </c>
      <c r="D22" s="429" t="s">
        <v>115</v>
      </c>
      <c r="E22" s="247">
        <v>3.2</v>
      </c>
      <c r="F22" s="247">
        <v>23.5</v>
      </c>
      <c r="G22" s="247">
        <f>F22</f>
        <v>23.5</v>
      </c>
      <c r="H22" s="344">
        <v>12057100000</v>
      </c>
      <c r="I22" s="344">
        <v>11569999000</v>
      </c>
      <c r="J22" s="286" t="s">
        <v>103</v>
      </c>
      <c r="K22" s="328" t="s">
        <v>110</v>
      </c>
      <c r="L22" s="283" t="s">
        <v>136</v>
      </c>
      <c r="M22" s="258">
        <v>180</v>
      </c>
      <c r="N22" s="258">
        <f t="shared" ref="N22" si="1">M22-8</f>
        <v>172</v>
      </c>
      <c r="O22" s="284" t="s">
        <v>101</v>
      </c>
      <c r="P22" s="259">
        <v>42010</v>
      </c>
      <c r="Q22" s="343" t="s">
        <v>111</v>
      </c>
    </row>
    <row r="23" spans="2:17" ht="28.5" customHeight="1">
      <c r="B23" s="199"/>
      <c r="C23" s="251"/>
      <c r="D23" s="430"/>
      <c r="E23" s="247"/>
      <c r="F23" s="247"/>
      <c r="G23" s="247"/>
      <c r="H23" s="261"/>
      <c r="I23" s="262"/>
      <c r="J23" s="257"/>
      <c r="K23" s="257"/>
      <c r="L23" s="283" t="s">
        <v>142</v>
      </c>
      <c r="M23" s="258"/>
      <c r="N23" s="258"/>
      <c r="O23" s="259"/>
      <c r="P23" s="259">
        <v>42010</v>
      </c>
      <c r="Q23" s="260"/>
    </row>
    <row r="24" spans="2:17" ht="38.25" customHeight="1">
      <c r="B24" s="345"/>
      <c r="C24" s="319"/>
      <c r="D24" s="346"/>
      <c r="E24" s="529">
        <v>3.1909999999999998</v>
      </c>
      <c r="F24" s="529">
        <v>23.616</v>
      </c>
      <c r="G24" s="247">
        <f>F24</f>
        <v>23.616</v>
      </c>
      <c r="H24" s="344">
        <v>12057100000</v>
      </c>
      <c r="I24" s="342">
        <f>H24</f>
        <v>12057100000</v>
      </c>
      <c r="J24" s="286" t="s">
        <v>103</v>
      </c>
      <c r="K24" s="328" t="s">
        <v>110</v>
      </c>
      <c r="L24" s="283" t="s">
        <v>137</v>
      </c>
      <c r="M24" s="350"/>
      <c r="N24" s="351"/>
      <c r="O24" s="352"/>
      <c r="P24" s="352"/>
      <c r="Q24" s="353"/>
    </row>
    <row r="25" spans="2:17" ht="21" customHeight="1">
      <c r="B25" s="345"/>
      <c r="C25" s="319"/>
      <c r="D25" s="346"/>
      <c r="E25" s="321"/>
      <c r="F25" s="321"/>
      <c r="G25" s="321"/>
      <c r="H25" s="347"/>
      <c r="I25" s="348"/>
      <c r="J25" s="349"/>
      <c r="K25" s="349"/>
      <c r="L25" s="527" t="s">
        <v>143</v>
      </c>
      <c r="M25" s="350"/>
      <c r="N25" s="351"/>
      <c r="O25" s="352"/>
      <c r="P25" s="352"/>
      <c r="Q25" s="353"/>
    </row>
    <row r="26" spans="2:17" ht="46.5" customHeight="1">
      <c r="B26" s="199">
        <v>4</v>
      </c>
      <c r="C26" s="251" t="s">
        <v>117</v>
      </c>
      <c r="D26" s="429" t="s">
        <v>118</v>
      </c>
      <c r="E26" s="247">
        <v>3</v>
      </c>
      <c r="F26" s="247">
        <v>31.6</v>
      </c>
      <c r="G26" s="247">
        <f>F26</f>
        <v>31.6</v>
      </c>
      <c r="H26" s="344">
        <v>9419900000</v>
      </c>
      <c r="I26" s="344">
        <v>8967055000</v>
      </c>
      <c r="J26" s="286" t="s">
        <v>119</v>
      </c>
      <c r="K26" s="328" t="s">
        <v>114</v>
      </c>
      <c r="L26" s="283" t="s">
        <v>139</v>
      </c>
      <c r="M26" s="258">
        <v>180</v>
      </c>
      <c r="N26" s="258">
        <f t="shared" ref="N26" si="2">M26-8</f>
        <v>172</v>
      </c>
      <c r="O26" s="284" t="s">
        <v>101</v>
      </c>
      <c r="P26" s="259">
        <v>42010</v>
      </c>
      <c r="Q26" s="343" t="s">
        <v>111</v>
      </c>
    </row>
    <row r="27" spans="2:17" ht="29.25" customHeight="1">
      <c r="B27" s="199"/>
      <c r="C27" s="251"/>
      <c r="D27" s="430"/>
      <c r="E27" s="247"/>
      <c r="F27" s="247"/>
      <c r="G27" s="247"/>
      <c r="H27" s="261"/>
      <c r="I27" s="262"/>
      <c r="J27" s="257"/>
      <c r="K27" s="257"/>
      <c r="L27" s="283" t="s">
        <v>142</v>
      </c>
      <c r="M27" s="258"/>
      <c r="N27" s="258"/>
      <c r="O27" s="259"/>
      <c r="P27" s="259">
        <v>42010</v>
      </c>
      <c r="Q27" s="260"/>
    </row>
    <row r="28" spans="2:17" ht="38.25" customHeight="1">
      <c r="B28" s="345"/>
      <c r="C28" s="319"/>
      <c r="D28" s="346"/>
      <c r="E28" s="529">
        <v>3</v>
      </c>
      <c r="F28" s="529">
        <v>31.6</v>
      </c>
      <c r="G28" s="247">
        <f>F28</f>
        <v>31.6</v>
      </c>
      <c r="H28" s="344">
        <v>9419900000</v>
      </c>
      <c r="I28" s="342">
        <f>H28</f>
        <v>9419900000</v>
      </c>
      <c r="J28" s="286" t="s">
        <v>119</v>
      </c>
      <c r="K28" s="328" t="s">
        <v>114</v>
      </c>
      <c r="L28" s="283" t="s">
        <v>138</v>
      </c>
      <c r="M28" s="350"/>
      <c r="N28" s="351"/>
      <c r="O28" s="352"/>
      <c r="P28" s="352"/>
      <c r="Q28" s="353"/>
    </row>
    <row r="29" spans="2:17" ht="25.5" customHeight="1">
      <c r="B29" s="345"/>
      <c r="C29" s="319"/>
      <c r="D29" s="346"/>
      <c r="E29" s="321"/>
      <c r="F29" s="321"/>
      <c r="G29" s="321"/>
      <c r="H29" s="347"/>
      <c r="I29" s="348"/>
      <c r="J29" s="349"/>
      <c r="K29" s="349"/>
      <c r="L29" s="527" t="s">
        <v>143</v>
      </c>
      <c r="M29" s="350"/>
      <c r="N29" s="351"/>
      <c r="O29" s="352"/>
      <c r="P29" s="352"/>
      <c r="Q29" s="353"/>
    </row>
    <row r="30" spans="2:17" ht="46.5" customHeight="1">
      <c r="B30" s="199">
        <v>5</v>
      </c>
      <c r="C30" s="251" t="s">
        <v>120</v>
      </c>
      <c r="D30" s="429" t="s">
        <v>121</v>
      </c>
      <c r="E30" s="247">
        <v>6.5</v>
      </c>
      <c r="F30" s="247">
        <v>16.96</v>
      </c>
      <c r="G30" s="247">
        <f>F30</f>
        <v>16.96</v>
      </c>
      <c r="H30" s="344">
        <v>19368000000</v>
      </c>
      <c r="I30" s="344">
        <v>18951594000</v>
      </c>
      <c r="J30" s="286" t="s">
        <v>122</v>
      </c>
      <c r="K30" s="328" t="s">
        <v>110</v>
      </c>
      <c r="L30" s="283" t="s">
        <v>141</v>
      </c>
      <c r="M30" s="258">
        <v>180</v>
      </c>
      <c r="N30" s="258">
        <f t="shared" ref="N30" si="3">M30-8</f>
        <v>172</v>
      </c>
      <c r="O30" s="284" t="s">
        <v>101</v>
      </c>
      <c r="P30" s="259">
        <v>42010</v>
      </c>
      <c r="Q30" s="343" t="s">
        <v>111</v>
      </c>
    </row>
    <row r="31" spans="2:17" ht="31.5" customHeight="1">
      <c r="B31" s="199"/>
      <c r="C31" s="251"/>
      <c r="D31" s="430"/>
      <c r="E31" s="247"/>
      <c r="F31" s="247"/>
      <c r="G31" s="247"/>
      <c r="H31" s="261"/>
      <c r="I31" s="262"/>
      <c r="J31" s="257"/>
      <c r="K31" s="257"/>
      <c r="L31" s="283" t="s">
        <v>142</v>
      </c>
      <c r="M31" s="258"/>
      <c r="N31" s="258"/>
      <c r="O31" s="259"/>
      <c r="P31" s="259">
        <v>42010</v>
      </c>
      <c r="Q31" s="260"/>
    </row>
    <row r="32" spans="2:17" ht="36.75" customHeight="1">
      <c r="B32" s="345"/>
      <c r="C32" s="319"/>
      <c r="D32" s="346"/>
      <c r="E32" s="529">
        <v>6.5069999999999997</v>
      </c>
      <c r="F32" s="529">
        <v>16.931000000000001</v>
      </c>
      <c r="G32" s="247">
        <f>F32</f>
        <v>16.931000000000001</v>
      </c>
      <c r="H32" s="344">
        <v>19368000000</v>
      </c>
      <c r="I32" s="342">
        <f>H32</f>
        <v>19368000000</v>
      </c>
      <c r="J32" s="286" t="s">
        <v>122</v>
      </c>
      <c r="K32" s="328" t="s">
        <v>110</v>
      </c>
      <c r="L32" s="283" t="s">
        <v>140</v>
      </c>
      <c r="M32" s="350"/>
      <c r="N32" s="351"/>
      <c r="O32" s="352"/>
      <c r="P32" s="352"/>
      <c r="Q32" s="353"/>
    </row>
    <row r="33" spans="2:17" ht="22.5" customHeight="1">
      <c r="B33" s="264"/>
      <c r="C33" s="213"/>
      <c r="D33" s="234"/>
      <c r="E33" s="226"/>
      <c r="F33" s="226"/>
      <c r="G33" s="226"/>
      <c r="H33" s="265"/>
      <c r="I33" s="266"/>
      <c r="J33" s="266"/>
      <c r="K33" s="266"/>
      <c r="L33" s="527" t="s">
        <v>143</v>
      </c>
      <c r="M33" s="267"/>
      <c r="N33" s="268"/>
      <c r="O33" s="268"/>
      <c r="P33" s="268"/>
      <c r="Q33" s="269"/>
    </row>
    <row r="34" spans="2:17" ht="30.75" customHeight="1" thickBot="1">
      <c r="B34" s="270"/>
      <c r="C34" s="271"/>
      <c r="D34" s="272" t="s">
        <v>7</v>
      </c>
      <c r="E34" s="273">
        <f>E14+E18+E22+E26+E30</f>
        <v>23.471</v>
      </c>
      <c r="F34" s="273">
        <f>F14+F18+F22+F26+F30</f>
        <v>122.92100000000002</v>
      </c>
      <c r="G34" s="273">
        <f>G14+G18+G22+G26+G30</f>
        <v>122.92100000000002</v>
      </c>
      <c r="H34" s="274">
        <f>H14+H18+H22+H26+H30</f>
        <v>69124000000</v>
      </c>
      <c r="I34" s="274">
        <f>I14+I18+I22+I26+I30</f>
        <v>67049511000</v>
      </c>
      <c r="J34" s="274"/>
      <c r="K34" s="275"/>
      <c r="L34" s="275"/>
      <c r="M34" s="275"/>
      <c r="N34" s="275"/>
      <c r="O34" s="275"/>
      <c r="P34" s="275"/>
      <c r="Q34" s="276"/>
    </row>
    <row r="35" spans="2:17" ht="9.75" customHeight="1"/>
    <row r="37" spans="2:17" ht="21" customHeight="1" thickBot="1">
      <c r="J37" s="243">
        <f>1082142000/3366900000*100</f>
        <v>32.140604116546378</v>
      </c>
      <c r="K37" s="26"/>
    </row>
  </sheetData>
  <mergeCells count="19">
    <mergeCell ref="O8:P9"/>
    <mergeCell ref="Q8:Q9"/>
    <mergeCell ref="B2:Q2"/>
    <mergeCell ref="B3:Q3"/>
    <mergeCell ref="B4:Q4"/>
    <mergeCell ref="B8:B9"/>
    <mergeCell ref="C8:C9"/>
    <mergeCell ref="D8:D9"/>
    <mergeCell ref="E8:G8"/>
    <mergeCell ref="H8:I8"/>
    <mergeCell ref="J8:J9"/>
    <mergeCell ref="K8:K9"/>
    <mergeCell ref="D22:D23"/>
    <mergeCell ref="L8:L9"/>
    <mergeCell ref="M8:N9"/>
    <mergeCell ref="D26:D27"/>
    <mergeCell ref="D30:D31"/>
    <mergeCell ref="D14:D15"/>
    <mergeCell ref="D18:D19"/>
  </mergeCells>
  <printOptions horizontalCentered="1"/>
  <pageMargins left="0.3" right="0" top="0.3" bottom="0" header="0.34" footer="0.14000000000000001"/>
  <pageSetup paperSize="9" scale="67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K85"/>
  <sheetViews>
    <sheetView tabSelected="1" view="pageBreakPreview" topLeftCell="B7" zoomScaleSheetLayoutView="100" workbookViewId="0">
      <selection activeCell="F25" sqref="F25"/>
    </sheetView>
  </sheetViews>
  <sheetFormatPr defaultRowHeight="12.75"/>
  <cols>
    <col min="1" max="1" width="1.140625" customWidth="1"/>
    <col min="2" max="2" width="5" customWidth="1"/>
    <col min="3" max="3" width="7" customWidth="1"/>
    <col min="4" max="4" width="46.7109375" style="1" customWidth="1"/>
    <col min="5" max="5" width="8.7109375" customWidth="1"/>
    <col min="6" max="6" width="10" customWidth="1"/>
    <col min="7" max="7" width="20.5703125" customWidth="1"/>
    <col min="8" max="8" width="19.28515625" customWidth="1"/>
    <col min="9" max="9" width="19.85546875" customWidth="1"/>
    <col min="10" max="10" width="9.28515625" customWidth="1"/>
    <col min="11" max="11" width="8.5703125" hidden="1" customWidth="1"/>
    <col min="12" max="12" width="9.42578125" hidden="1" customWidth="1"/>
    <col min="13" max="13" width="10" hidden="1" customWidth="1"/>
    <col min="14" max="14" width="8.85546875" hidden="1" customWidth="1"/>
    <col min="15" max="15" width="15.7109375" hidden="1" customWidth="1"/>
    <col min="16" max="16" width="7.85546875" hidden="1" customWidth="1"/>
    <col min="17" max="17" width="10" hidden="1" customWidth="1"/>
    <col min="18" max="18" width="7.42578125" hidden="1" customWidth="1"/>
    <col min="19" max="20" width="7" hidden="1" customWidth="1"/>
    <col min="21" max="21" width="8.5703125" customWidth="1"/>
    <col min="22" max="22" width="9.28515625" customWidth="1"/>
    <col min="23" max="23" width="9" customWidth="1"/>
    <col min="24" max="24" width="10.28515625" customWidth="1"/>
    <col min="25" max="25" width="0.7109375" customWidth="1"/>
    <col min="26" max="26" width="21.7109375" customWidth="1"/>
    <col min="27" max="27" width="14.140625" customWidth="1"/>
    <col min="28" max="28" width="21.85546875" customWidth="1"/>
    <col min="29" max="29" width="12.5703125" customWidth="1"/>
    <col min="30" max="30" width="21.7109375" customWidth="1"/>
    <col min="31" max="31" width="20.5703125" customWidth="1"/>
    <col min="32" max="32" width="17.85546875" customWidth="1"/>
    <col min="33" max="33" width="18.28515625" customWidth="1"/>
    <col min="34" max="34" width="19.28515625" customWidth="1"/>
    <col min="35" max="35" width="19.7109375" customWidth="1"/>
  </cols>
  <sheetData>
    <row r="1" spans="2:37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2:37" ht="22.5" customHeight="1">
      <c r="B2" s="454" t="s">
        <v>128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298"/>
      <c r="Z2" s="298"/>
      <c r="AA2" s="298"/>
      <c r="AB2" s="298"/>
      <c r="AC2" s="298"/>
      <c r="AD2" s="2"/>
      <c r="AE2" s="2"/>
      <c r="AF2" s="2"/>
      <c r="AG2" s="2"/>
    </row>
    <row r="3" spans="2:37" ht="19.5">
      <c r="B3" s="455" t="s">
        <v>92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291"/>
      <c r="Z3" s="291"/>
      <c r="AA3" s="291"/>
      <c r="AB3" s="291"/>
      <c r="AC3" s="291"/>
      <c r="AD3" s="3"/>
      <c r="AE3" s="3"/>
      <c r="AF3" s="3"/>
      <c r="AG3" s="3"/>
    </row>
    <row r="4" spans="2:37" ht="16.5" customHeight="1">
      <c r="B4" s="443" t="s">
        <v>126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292"/>
      <c r="Z4" s="292"/>
      <c r="AA4" s="292"/>
      <c r="AB4" s="292"/>
      <c r="AC4" s="292"/>
      <c r="AD4" s="4"/>
      <c r="AE4" s="4"/>
      <c r="AF4" s="4"/>
      <c r="AG4" s="4"/>
    </row>
    <row r="5" spans="2:37" ht="20.25" customHeight="1" thickBot="1">
      <c r="D5"/>
      <c r="F5" s="18"/>
      <c r="G5" s="18"/>
      <c r="H5" s="18"/>
      <c r="I5" s="17"/>
      <c r="R5" s="18"/>
      <c r="U5" s="215" t="s">
        <v>79</v>
      </c>
      <c r="V5" s="214" t="s">
        <v>80</v>
      </c>
      <c r="W5" s="227" t="s">
        <v>130</v>
      </c>
      <c r="X5" s="216"/>
      <c r="AD5" s="18"/>
    </row>
    <row r="6" spans="2:37" ht="31.9" customHeight="1">
      <c r="B6" s="456" t="s">
        <v>20</v>
      </c>
      <c r="C6" s="459" t="s">
        <v>9</v>
      </c>
      <c r="D6" s="459" t="s">
        <v>75</v>
      </c>
      <c r="E6" s="462" t="s">
        <v>67</v>
      </c>
      <c r="F6" s="463"/>
      <c r="G6" s="466" t="s">
        <v>86</v>
      </c>
      <c r="H6" s="467"/>
      <c r="I6" s="466" t="s">
        <v>46</v>
      </c>
      <c r="J6" s="468"/>
      <c r="K6" s="467"/>
      <c r="L6" s="466" t="s">
        <v>22</v>
      </c>
      <c r="M6" s="468"/>
      <c r="N6" s="467"/>
      <c r="O6" s="466" t="s">
        <v>24</v>
      </c>
      <c r="P6" s="467"/>
      <c r="Q6" s="469" t="s">
        <v>27</v>
      </c>
      <c r="R6" s="448" t="s">
        <v>23</v>
      </c>
      <c r="S6" s="449"/>
      <c r="T6" s="450"/>
      <c r="U6" s="472" t="s">
        <v>47</v>
      </c>
      <c r="V6" s="473"/>
      <c r="W6" s="474"/>
      <c r="X6" s="475" t="s">
        <v>78</v>
      </c>
      <c r="Z6" s="47"/>
      <c r="AA6" s="47"/>
      <c r="AB6" s="47"/>
      <c r="AC6" s="47"/>
    </row>
    <row r="7" spans="2:37" ht="24" customHeight="1">
      <c r="B7" s="457"/>
      <c r="C7" s="460"/>
      <c r="D7" s="460"/>
      <c r="E7" s="464"/>
      <c r="F7" s="465"/>
      <c r="G7" s="327" t="s">
        <v>129</v>
      </c>
      <c r="H7" s="297" t="s">
        <v>85</v>
      </c>
      <c r="I7" s="489" t="s">
        <v>51</v>
      </c>
      <c r="J7" s="491" t="s">
        <v>19</v>
      </c>
      <c r="K7" s="492"/>
      <c r="L7" s="481" t="s">
        <v>2</v>
      </c>
      <c r="M7" s="481" t="s">
        <v>3</v>
      </c>
      <c r="N7" s="481" t="s">
        <v>4</v>
      </c>
      <c r="O7" s="481" t="s">
        <v>25</v>
      </c>
      <c r="P7" s="481" t="s">
        <v>26</v>
      </c>
      <c r="Q7" s="470"/>
      <c r="R7" s="481" t="s">
        <v>2</v>
      </c>
      <c r="S7" s="481" t="s">
        <v>3</v>
      </c>
      <c r="T7" s="481" t="s">
        <v>4</v>
      </c>
      <c r="U7" s="481" t="s">
        <v>2</v>
      </c>
      <c r="V7" s="481" t="s">
        <v>3</v>
      </c>
      <c r="W7" s="481" t="s">
        <v>4</v>
      </c>
      <c r="X7" s="476"/>
      <c r="Z7" s="188"/>
      <c r="AA7" s="47"/>
      <c r="AB7" s="47"/>
      <c r="AC7" s="47"/>
    </row>
    <row r="8" spans="2:37" ht="24" customHeight="1">
      <c r="B8" s="458"/>
      <c r="C8" s="461"/>
      <c r="D8" s="461"/>
      <c r="E8" s="295" t="s">
        <v>68</v>
      </c>
      <c r="F8" s="151" t="s">
        <v>69</v>
      </c>
      <c r="G8" s="295" t="s">
        <v>83</v>
      </c>
      <c r="H8" s="294" t="s">
        <v>83</v>
      </c>
      <c r="I8" s="490"/>
      <c r="J8" s="464"/>
      <c r="K8" s="465"/>
      <c r="L8" s="461"/>
      <c r="M8" s="461"/>
      <c r="N8" s="461"/>
      <c r="O8" s="461"/>
      <c r="P8" s="461"/>
      <c r="Q8" s="471"/>
      <c r="R8" s="461"/>
      <c r="S8" s="461"/>
      <c r="T8" s="461"/>
      <c r="U8" s="461"/>
      <c r="V8" s="461"/>
      <c r="W8" s="461"/>
      <c r="X8" s="477"/>
      <c r="Z8" s="188">
        <f>H34</f>
        <v>72000000000</v>
      </c>
      <c r="AA8" s="47"/>
      <c r="AB8" s="47"/>
      <c r="AC8" s="47"/>
    </row>
    <row r="9" spans="2:37" ht="15" customHeight="1">
      <c r="B9" s="5">
        <v>1</v>
      </c>
      <c r="C9" s="250">
        <v>2</v>
      </c>
      <c r="D9" s="6">
        <v>3</v>
      </c>
      <c r="E9" s="6">
        <v>4</v>
      </c>
      <c r="F9" s="6">
        <v>5</v>
      </c>
      <c r="G9" s="282">
        <v>7</v>
      </c>
      <c r="H9" s="282">
        <v>6</v>
      </c>
      <c r="I9" s="6">
        <v>8</v>
      </c>
      <c r="J9" s="282">
        <v>9</v>
      </c>
      <c r="K9" s="282">
        <v>13</v>
      </c>
      <c r="L9" s="282">
        <v>10</v>
      </c>
      <c r="M9" s="282">
        <v>11</v>
      </c>
      <c r="N9" s="282">
        <v>12</v>
      </c>
      <c r="O9" s="282">
        <v>13</v>
      </c>
      <c r="P9" s="282">
        <v>14</v>
      </c>
      <c r="Q9" s="60">
        <v>15</v>
      </c>
      <c r="R9" s="282">
        <v>16</v>
      </c>
      <c r="S9" s="282">
        <v>17</v>
      </c>
      <c r="T9" s="282">
        <v>18</v>
      </c>
      <c r="U9" s="282">
        <v>10</v>
      </c>
      <c r="V9" s="282">
        <v>11</v>
      </c>
      <c r="W9" s="6">
        <v>12</v>
      </c>
      <c r="X9" s="141">
        <v>13</v>
      </c>
      <c r="Z9" s="38"/>
      <c r="AA9" s="38"/>
      <c r="AB9" s="38"/>
      <c r="AC9" s="38"/>
    </row>
    <row r="10" spans="2:37" ht="13.5" customHeight="1">
      <c r="B10" s="8"/>
      <c r="C10" s="27"/>
      <c r="D10" s="9"/>
      <c r="E10" s="10"/>
      <c r="F10" s="11"/>
      <c r="G10" s="32"/>
      <c r="H10" s="11"/>
      <c r="I10" s="11"/>
      <c r="J10" s="11"/>
      <c r="K10" s="11"/>
      <c r="L10" s="11"/>
      <c r="M10" s="11"/>
      <c r="N10" s="11"/>
      <c r="O10" s="11"/>
      <c r="P10" s="11"/>
      <c r="Q10" s="61"/>
      <c r="R10" s="11"/>
      <c r="S10" s="11"/>
      <c r="T10" s="11"/>
      <c r="U10" s="11"/>
      <c r="V10" s="11"/>
      <c r="W10" s="11"/>
      <c r="X10" s="12"/>
      <c r="Z10" s="39"/>
      <c r="AA10" s="39"/>
      <c r="AB10" s="39"/>
      <c r="AC10" s="39"/>
    </row>
    <row r="11" spans="2:37" ht="21" customHeight="1">
      <c r="B11" s="31" t="s">
        <v>14</v>
      </c>
      <c r="C11" s="19" t="s">
        <v>8</v>
      </c>
      <c r="D11" s="29"/>
      <c r="E11" s="66"/>
      <c r="F11" s="67"/>
      <c r="G11" s="66"/>
      <c r="H11" s="66"/>
      <c r="I11" s="66"/>
      <c r="J11" s="66"/>
      <c r="K11" s="66"/>
      <c r="L11" s="66"/>
      <c r="M11" s="66"/>
      <c r="N11" s="66"/>
      <c r="O11" s="66" t="e">
        <f>'Realisasi '!#REF!</f>
        <v>#REF!</v>
      </c>
      <c r="P11" s="66"/>
      <c r="Q11" s="68"/>
      <c r="R11" s="66"/>
      <c r="S11" s="66"/>
      <c r="T11" s="66"/>
      <c r="U11" s="66"/>
      <c r="V11" s="66"/>
      <c r="W11" s="66"/>
      <c r="X11" s="65"/>
      <c r="Z11" s="231">
        <f>H28</f>
        <v>69124000000</v>
      </c>
      <c r="AA11" s="232" t="s">
        <v>84</v>
      </c>
      <c r="AC11" s="40"/>
      <c r="AI11" s="230" t="s">
        <v>82</v>
      </c>
    </row>
    <row r="12" spans="2:37" ht="12" customHeight="1">
      <c r="B12" s="13"/>
      <c r="C12" s="28"/>
      <c r="D12" s="14"/>
      <c r="E12" s="15"/>
      <c r="F12" s="16"/>
      <c r="G12" s="33"/>
      <c r="H12" s="16"/>
      <c r="I12" s="16"/>
      <c r="J12" s="16"/>
      <c r="K12" s="16"/>
      <c r="L12" s="16"/>
      <c r="M12" s="16"/>
      <c r="N12" s="16"/>
      <c r="O12" s="16"/>
      <c r="P12" s="16"/>
      <c r="Q12" s="62"/>
      <c r="R12" s="16"/>
      <c r="S12" s="16"/>
      <c r="T12" s="16"/>
      <c r="U12" s="16"/>
      <c r="V12" s="16"/>
      <c r="W12" s="16"/>
      <c r="X12" s="25"/>
      <c r="Z12" s="478" t="s">
        <v>65</v>
      </c>
      <c r="AA12" s="478"/>
      <c r="AB12" s="478" t="s">
        <v>66</v>
      </c>
      <c r="AC12" s="478"/>
      <c r="AI12" s="228"/>
    </row>
    <row r="13" spans="2:37" ht="46.5" customHeight="1">
      <c r="B13" s="133">
        <v>1</v>
      </c>
      <c r="C13" s="30" t="str">
        <f>'Paket PRIM 2019'!C14</f>
        <v>P 6</v>
      </c>
      <c r="D13" s="30" t="str">
        <f>'Paket PRIM 2019'!D14</f>
        <v>Paket VI (Enam) Rehabilitasi/Pemeliharaan Berkala Ruas Jalan (022) Meninting - Midang, Rm + BMW 10 Ruas (DANA PRIM)</v>
      </c>
      <c r="E13" s="247">
        <f>'Paket PRIM 2019'!E16</f>
        <v>4.25</v>
      </c>
      <c r="F13" s="247">
        <f>'Paket PRIM 2019'!F16</f>
        <v>27.779</v>
      </c>
      <c r="G13" s="124">
        <f>'Paket PRIM 2019'!H14</f>
        <v>10207000000</v>
      </c>
      <c r="H13" s="124">
        <f>'Paket PRIM 2019'!I16</f>
        <v>10207000000</v>
      </c>
      <c r="I13" s="103">
        <f>'Real UM&amp;MC (per-bulan) '!T14</f>
        <v>4999410150</v>
      </c>
      <c r="J13" s="201">
        <f>I13/H13*100</f>
        <v>48.980211129616933</v>
      </c>
      <c r="K13" s="201" t="e">
        <f>#REF!/#REF!*100</f>
        <v>#REF!</v>
      </c>
      <c r="L13" s="202">
        <v>28.26</v>
      </c>
      <c r="M13" s="202">
        <v>27.82</v>
      </c>
      <c r="N13" s="202">
        <f t="shared" ref="N13:N16" si="0">M13-L13</f>
        <v>-0.44000000000000128</v>
      </c>
      <c r="O13" s="200" t="e">
        <f>#REF!-#REF!</f>
        <v>#REF!</v>
      </c>
      <c r="P13" s="203" t="e">
        <f>O13/#REF!*100</f>
        <v>#REF!</v>
      </c>
      <c r="Q13" s="203" t="e">
        <f t="shared" ref="Q13:Q16" si="1">O13/H13*100</f>
        <v>#REF!</v>
      </c>
      <c r="R13" s="204" t="e">
        <f>U13/#REF!*100</f>
        <v>#REF!</v>
      </c>
      <c r="S13" s="204" t="e">
        <f>V13/#REF!*100</f>
        <v>#REF!</v>
      </c>
      <c r="T13" s="204" t="e">
        <f>S13-R13</f>
        <v>#REF!</v>
      </c>
      <c r="U13" s="305">
        <v>24.544</v>
      </c>
      <c r="V13" s="305">
        <v>51.207000000000001</v>
      </c>
      <c r="W13" s="332">
        <f>V13-U13</f>
        <v>26.663</v>
      </c>
      <c r="X13" s="205">
        <f>AC13</f>
        <v>7.5613368583993976</v>
      </c>
      <c r="Y13" s="49"/>
      <c r="Z13" s="42">
        <f>(U13*H13)/100</f>
        <v>2505206080</v>
      </c>
      <c r="AA13" s="142">
        <f>Z13/$Z$11*100</f>
        <v>3.6242203576181935</v>
      </c>
      <c r="AB13" s="42">
        <f>(V13*H13)/100</f>
        <v>5226698490</v>
      </c>
      <c r="AC13" s="142">
        <f>AB13/$Z$11*100</f>
        <v>7.5613368583993976</v>
      </c>
      <c r="AD13" s="36">
        <f>G13*25/100</f>
        <v>2551750000</v>
      </c>
      <c r="AE13" s="36">
        <f>(AD13*0.2+AD13*0.05)</f>
        <v>637937500</v>
      </c>
      <c r="AF13" s="36">
        <f>AD13-AE13</f>
        <v>1913812500</v>
      </c>
      <c r="AG13" s="36">
        <v>5765433075</v>
      </c>
      <c r="AH13" s="35">
        <f>AG13+AF13</f>
        <v>7679245575</v>
      </c>
      <c r="AI13" s="229" t="e">
        <f>#REF!-G13</f>
        <v>#REF!</v>
      </c>
      <c r="AJ13" s="37"/>
      <c r="AK13" s="37"/>
    </row>
    <row r="14" spans="2:37" ht="19.5" hidden="1" customHeight="1">
      <c r="B14" s="48"/>
      <c r="C14" s="251"/>
      <c r="D14" s="30"/>
      <c r="E14" s="247"/>
      <c r="F14" s="248"/>
      <c r="G14" s="124"/>
      <c r="H14" s="124"/>
      <c r="I14" s="103"/>
      <c r="J14" s="325"/>
      <c r="K14" s="201"/>
      <c r="L14" s="207"/>
      <c r="M14" s="207"/>
      <c r="N14" s="207"/>
      <c r="O14" s="208"/>
      <c r="P14" s="209"/>
      <c r="Q14" s="209"/>
      <c r="R14" s="209"/>
      <c r="S14" s="209"/>
      <c r="T14" s="209"/>
      <c r="U14" s="303"/>
      <c r="V14" s="303"/>
      <c r="W14" s="244"/>
      <c r="X14" s="205"/>
      <c r="Y14" s="43"/>
      <c r="Z14" s="42">
        <f t="shared" ref="Z14:Z15" si="2">(U14*H14)/100</f>
        <v>0</v>
      </c>
      <c r="AA14" s="142">
        <f t="shared" ref="AA14:AA19" si="3">Z14/$Z$11*100</f>
        <v>0</v>
      </c>
      <c r="AB14" s="42">
        <f t="shared" ref="AB14:AB19" si="4">(V14*H14)/100</f>
        <v>0</v>
      </c>
      <c r="AC14" s="142">
        <f t="shared" ref="AC14:AC19" si="5">AB14/$Z$11*100</f>
        <v>0</v>
      </c>
      <c r="AD14" s="36">
        <f>G14*(V14-23)/100</f>
        <v>0</v>
      </c>
      <c r="AE14" s="36">
        <f>(AD14*0.2+AD14*0.05)</f>
        <v>0</v>
      </c>
      <c r="AF14" s="36">
        <f>AD14-AE14</f>
        <v>0</v>
      </c>
      <c r="AG14" s="36"/>
      <c r="AI14" s="229" t="e">
        <f>#REF!-G14</f>
        <v>#REF!</v>
      </c>
      <c r="AJ14" s="37"/>
      <c r="AK14" s="37"/>
    </row>
    <row r="15" spans="2:37" ht="19.5" customHeight="1">
      <c r="B15" s="48"/>
      <c r="C15" s="251"/>
      <c r="D15" s="30"/>
      <c r="E15" s="247"/>
      <c r="F15" s="247"/>
      <c r="G15" s="124"/>
      <c r="H15" s="124"/>
      <c r="I15" s="103"/>
      <c r="J15" s="325"/>
      <c r="K15" s="201"/>
      <c r="L15" s="207"/>
      <c r="M15" s="207"/>
      <c r="N15" s="207"/>
      <c r="O15" s="210"/>
      <c r="P15" s="209"/>
      <c r="Q15" s="209"/>
      <c r="R15" s="209"/>
      <c r="S15" s="209"/>
      <c r="T15" s="209"/>
      <c r="U15" s="304"/>
      <c r="V15" s="305"/>
      <c r="W15" s="244"/>
      <c r="X15" s="205"/>
      <c r="Y15" s="44"/>
      <c r="Z15" s="42">
        <f t="shared" si="2"/>
        <v>0</v>
      </c>
      <c r="AA15" s="142">
        <f t="shared" si="3"/>
        <v>0</v>
      </c>
      <c r="AB15" s="42">
        <f t="shared" si="4"/>
        <v>0</v>
      </c>
      <c r="AC15" s="142">
        <f t="shared" si="5"/>
        <v>0</v>
      </c>
      <c r="AD15" s="36">
        <f>G15*(V15-25)/100</f>
        <v>0</v>
      </c>
      <c r="AE15" s="36">
        <f t="shared" ref="AE15" si="6">(AD15*0.2+AD15*0.05)</f>
        <v>0</v>
      </c>
      <c r="AF15" s="36">
        <f t="shared" ref="AF15" si="7">AD15-AE15</f>
        <v>0</v>
      </c>
      <c r="AG15" s="36"/>
      <c r="AI15" s="229" t="e">
        <f>#REF!-G15</f>
        <v>#REF!</v>
      </c>
      <c r="AJ15" s="37"/>
      <c r="AK15" s="37"/>
    </row>
    <row r="16" spans="2:37" ht="49.5" customHeight="1">
      <c r="B16" s="125">
        <v>2</v>
      </c>
      <c r="C16" s="251" t="str">
        <f>'Paket PRIM 2019'!C18</f>
        <v>P 7</v>
      </c>
      <c r="D16" s="287" t="str">
        <f>'Paket PRIM 2019'!D18</f>
        <v>Paket VII (tujuh) Rehabilitasi/Pemeliharaan Berkala Ruas Jalan (042) Dasan Geres - Buntage, RM + BMW 8 Ruas (Dana PRIM)</v>
      </c>
      <c r="E16" s="247">
        <f>'Paket PRIM 2019'!E20</f>
        <v>6.4889999999999999</v>
      </c>
      <c r="F16" s="247">
        <f>'Paket PRIM 2019'!F20</f>
        <v>23.402999999999999</v>
      </c>
      <c r="G16" s="124">
        <f>'Paket PRIM 2019'!H18</f>
        <v>18072000000</v>
      </c>
      <c r="H16" s="124">
        <f>'Paket PRIM 2019'!I20</f>
        <v>18072000000</v>
      </c>
      <c r="I16" s="103">
        <f>'Real UM&amp;MC (per-bulan) '!T17</f>
        <v>10216219400</v>
      </c>
      <c r="J16" s="201">
        <f>I16/H16*100</f>
        <v>56.530651837096059</v>
      </c>
      <c r="K16" s="201" t="e">
        <f>#REF!/#REF!*100</f>
        <v>#REF!</v>
      </c>
      <c r="L16" s="211">
        <v>16.992999999999999</v>
      </c>
      <c r="M16" s="211">
        <v>5.593</v>
      </c>
      <c r="N16" s="211">
        <f t="shared" si="0"/>
        <v>-11.399999999999999</v>
      </c>
      <c r="O16" s="206" t="e">
        <f>#REF!-#REF!</f>
        <v>#REF!</v>
      </c>
      <c r="P16" s="212" t="e">
        <f>O16/#REF!*100</f>
        <v>#REF!</v>
      </c>
      <c r="Q16" s="212" t="e">
        <f t="shared" si="1"/>
        <v>#REF!</v>
      </c>
      <c r="R16" s="212" t="e">
        <f>U16/#REF!*100</f>
        <v>#REF!</v>
      </c>
      <c r="S16" s="212" t="e">
        <f>V16/#REF!*100</f>
        <v>#REF!</v>
      </c>
      <c r="T16" s="212" t="e">
        <f>S16-R16</f>
        <v>#REF!</v>
      </c>
      <c r="U16" s="305">
        <v>33.497999999999998</v>
      </c>
      <c r="V16" s="305">
        <v>49.38</v>
      </c>
      <c r="W16" s="332">
        <f>V16-U16</f>
        <v>15.882000000000005</v>
      </c>
      <c r="X16" s="205">
        <f t="shared" ref="X16" si="8">AC16</f>
        <v>12.91006538973439</v>
      </c>
      <c r="Y16" s="49"/>
      <c r="Z16" s="42">
        <f>(U16*H16)/100</f>
        <v>6053758560</v>
      </c>
      <c r="AA16" s="142">
        <f t="shared" si="3"/>
        <v>8.7578244314565126</v>
      </c>
      <c r="AB16" s="42">
        <f t="shared" si="4"/>
        <v>8923953600</v>
      </c>
      <c r="AC16" s="142">
        <f t="shared" si="5"/>
        <v>12.91006538973439</v>
      </c>
      <c r="AD16" s="36">
        <f>G16*25/100</f>
        <v>4518000000</v>
      </c>
      <c r="AE16" s="36">
        <f>(AD16*0.2+AD16*0.05)</f>
        <v>1129500000</v>
      </c>
      <c r="AF16" s="36">
        <f>AD16-AE16</f>
        <v>3388500000</v>
      </c>
      <c r="AG16" s="36">
        <v>5765433075</v>
      </c>
      <c r="AH16" s="35">
        <f>AG16+AF16</f>
        <v>9153933075</v>
      </c>
      <c r="AI16" s="229" t="e">
        <f>#REF!-G16</f>
        <v>#REF!</v>
      </c>
      <c r="AJ16" s="37"/>
      <c r="AK16" s="37"/>
    </row>
    <row r="17" spans="2:37" ht="21" customHeight="1">
      <c r="B17" s="315"/>
      <c r="C17" s="251"/>
      <c r="D17" s="287"/>
      <c r="E17" s="247"/>
      <c r="F17" s="247"/>
      <c r="G17" s="124"/>
      <c r="H17" s="124"/>
      <c r="I17" s="103"/>
      <c r="J17" s="325"/>
      <c r="K17" s="201"/>
      <c r="L17" s="316"/>
      <c r="M17" s="316"/>
      <c r="N17" s="316"/>
      <c r="O17" s="317"/>
      <c r="P17" s="318"/>
      <c r="Q17" s="318"/>
      <c r="R17" s="318"/>
      <c r="S17" s="318"/>
      <c r="T17" s="318"/>
      <c r="U17" s="311"/>
      <c r="V17" s="305"/>
      <c r="W17" s="245"/>
      <c r="X17" s="205"/>
      <c r="Y17" s="49"/>
      <c r="Z17" s="42">
        <f t="shared" ref="Z17:Z18" si="9">(U17*H17)/100</f>
        <v>0</v>
      </c>
      <c r="AA17" s="142">
        <f t="shared" ref="AA17:AA18" si="10">Z17/$Z$11*100</f>
        <v>0</v>
      </c>
      <c r="AB17" s="42">
        <f t="shared" ref="AB17:AB18" si="11">(V17*H17)/100</f>
        <v>0</v>
      </c>
      <c r="AC17" s="142">
        <f t="shared" ref="AC17:AC18" si="12">AB17/$Z$11*100</f>
        <v>0</v>
      </c>
      <c r="AD17" s="36">
        <f>G17*(V17-23)/100</f>
        <v>0</v>
      </c>
      <c r="AE17" s="36">
        <f>(AD17*0.2+AD17*0.05)</f>
        <v>0</v>
      </c>
      <c r="AF17" s="36">
        <f>AD17-AE17</f>
        <v>0</v>
      </c>
      <c r="AG17" s="36"/>
      <c r="AI17" s="229" t="e">
        <f>#REF!-G17</f>
        <v>#REF!</v>
      </c>
      <c r="AJ17" s="37"/>
      <c r="AK17" s="37"/>
    </row>
    <row r="18" spans="2:37" ht="18.75" customHeight="1">
      <c r="B18" s="315"/>
      <c r="C18" s="251"/>
      <c r="D18" s="287"/>
      <c r="E18" s="247"/>
      <c r="F18" s="247"/>
      <c r="G18" s="124"/>
      <c r="H18" s="124"/>
      <c r="I18" s="103"/>
      <c r="J18" s="325"/>
      <c r="K18" s="201"/>
      <c r="L18" s="316"/>
      <c r="M18" s="316"/>
      <c r="N18" s="316"/>
      <c r="O18" s="317"/>
      <c r="P18" s="318"/>
      <c r="Q18" s="318"/>
      <c r="R18" s="318"/>
      <c r="S18" s="318"/>
      <c r="T18" s="318"/>
      <c r="U18" s="311"/>
      <c r="V18" s="305"/>
      <c r="W18" s="245"/>
      <c r="X18" s="205"/>
      <c r="Y18" s="49"/>
      <c r="Z18" s="42">
        <f t="shared" si="9"/>
        <v>0</v>
      </c>
      <c r="AA18" s="142">
        <f t="shared" si="10"/>
        <v>0</v>
      </c>
      <c r="AB18" s="42">
        <f t="shared" si="11"/>
        <v>0</v>
      </c>
      <c r="AC18" s="142">
        <f t="shared" si="12"/>
        <v>0</v>
      </c>
      <c r="AD18" s="36">
        <f>G18*(V18-25)/100</f>
        <v>0</v>
      </c>
      <c r="AE18" s="36">
        <f t="shared" ref="AE18" si="13">(AD18*0.2+AD18*0.05)</f>
        <v>0</v>
      </c>
      <c r="AF18" s="36">
        <f t="shared" ref="AF18" si="14">AD18-AE18</f>
        <v>0</v>
      </c>
      <c r="AG18" s="36"/>
      <c r="AI18" s="229" t="e">
        <f>#REF!-G18</f>
        <v>#REF!</v>
      </c>
      <c r="AJ18" s="37"/>
      <c r="AK18" s="37"/>
    </row>
    <row r="19" spans="2:37" ht="46.9" customHeight="1">
      <c r="B19" s="125">
        <v>3</v>
      </c>
      <c r="C19" s="251" t="str">
        <f>'Paket PRIM 2019'!C22</f>
        <v>P 8</v>
      </c>
      <c r="D19" s="287" t="str">
        <f>'Paket PRIM 2019'!D22</f>
        <v>Paket VIII (delapan) Rehabilitasi/Pemeliharaan Berkala Ruas Jalan (026) Dasan Tereng - Sembung, RM + BMW 5 Ruas (Dana PRIM)</v>
      </c>
      <c r="E19" s="247">
        <f>'Paket PRIM 2019'!E24</f>
        <v>3.1909999999999998</v>
      </c>
      <c r="F19" s="247">
        <f>'Paket PRIM 2019'!F24</f>
        <v>23.616</v>
      </c>
      <c r="G19" s="124">
        <f>'Paket PRIM 2019'!H22</f>
        <v>12057100000</v>
      </c>
      <c r="H19" s="124">
        <f>'Paket PRIM 2019'!I24</f>
        <v>12057100000</v>
      </c>
      <c r="I19" s="103">
        <f>'Real UM&amp;MC (per-bulan) '!T20</f>
        <v>4722885800</v>
      </c>
      <c r="J19" s="201">
        <f>I19/H19*100</f>
        <v>39.170993024856728</v>
      </c>
      <c r="K19" s="201" t="e">
        <f>#REF!/#REF!*100</f>
        <v>#REF!</v>
      </c>
      <c r="L19" s="211">
        <v>16.992999999999999</v>
      </c>
      <c r="M19" s="211">
        <v>5.593</v>
      </c>
      <c r="N19" s="211">
        <f t="shared" ref="N19" si="15">M19-L19</f>
        <v>-11.399999999999999</v>
      </c>
      <c r="O19" s="206" t="e">
        <f>#REF!-#REF!</f>
        <v>#REF!</v>
      </c>
      <c r="P19" s="212" t="e">
        <f>O19/#REF!*100</f>
        <v>#REF!</v>
      </c>
      <c r="Q19" s="212" t="e">
        <f t="shared" ref="Q19" si="16">O19/H19*100</f>
        <v>#REF!</v>
      </c>
      <c r="R19" s="212" t="e">
        <f>U19/#REF!*100</f>
        <v>#REF!</v>
      </c>
      <c r="S19" s="212" t="e">
        <f>V19/#REF!*100</f>
        <v>#REF!</v>
      </c>
      <c r="T19" s="212" t="e">
        <f>S19-R19</f>
        <v>#REF!</v>
      </c>
      <c r="U19" s="305">
        <v>47.99</v>
      </c>
      <c r="V19" s="305">
        <v>50.954999999999998</v>
      </c>
      <c r="W19" s="332">
        <f>V19-U19</f>
        <v>2.9649999999999963</v>
      </c>
      <c r="X19" s="205">
        <f t="shared" ref="X19" si="17">AC19</f>
        <v>8.8879337205601523</v>
      </c>
      <c r="Y19" s="49"/>
      <c r="Z19" s="42">
        <f t="shared" ref="Z19:Z21" si="18">(U19*H19)/100</f>
        <v>5786202290</v>
      </c>
      <c r="AA19" s="142">
        <f t="shared" si="3"/>
        <v>8.3707573201782299</v>
      </c>
      <c r="AB19" s="42">
        <f t="shared" si="4"/>
        <v>6143695305</v>
      </c>
      <c r="AC19" s="142">
        <f t="shared" si="5"/>
        <v>8.8879337205601523</v>
      </c>
      <c r="AD19" s="36">
        <f>G19*25/100</f>
        <v>3014275000</v>
      </c>
      <c r="AE19" s="36">
        <f>(AD19*0.2+AD19*0.05)</f>
        <v>753568750</v>
      </c>
      <c r="AF19" s="36">
        <f>AD19-AE19</f>
        <v>2260706250</v>
      </c>
      <c r="AG19" s="36">
        <v>5765433075</v>
      </c>
      <c r="AH19" s="35">
        <f>AG19+AF19</f>
        <v>8026139325</v>
      </c>
      <c r="AI19" s="229" t="e">
        <f>#REF!-G19</f>
        <v>#REF!</v>
      </c>
    </row>
    <row r="20" spans="2:37" ht="21" hidden="1" customHeight="1">
      <c r="B20" s="125"/>
      <c r="C20" s="319"/>
      <c r="D20" s="320"/>
      <c r="E20" s="321"/>
      <c r="F20" s="321"/>
      <c r="G20" s="124"/>
      <c r="H20" s="322"/>
      <c r="I20" s="323"/>
      <c r="J20" s="201"/>
      <c r="K20" s="201"/>
      <c r="L20" s="324"/>
      <c r="M20" s="324"/>
      <c r="N20" s="324"/>
      <c r="O20" s="200"/>
      <c r="P20" s="204"/>
      <c r="Q20" s="204"/>
      <c r="R20" s="204"/>
      <c r="S20" s="204"/>
      <c r="T20" s="204"/>
      <c r="U20" s="311"/>
      <c r="V20" s="305"/>
      <c r="W20" s="332"/>
      <c r="X20" s="205"/>
      <c r="Y20" s="49"/>
      <c r="Z20" s="42">
        <f t="shared" si="18"/>
        <v>0</v>
      </c>
      <c r="AA20" s="142">
        <f t="shared" ref="AA20:AA21" si="19">Z20/$Z$11*100</f>
        <v>0</v>
      </c>
      <c r="AB20" s="42">
        <f t="shared" ref="AB20:AB21" si="20">(V20*H20)/100</f>
        <v>0</v>
      </c>
      <c r="AC20" s="142">
        <f t="shared" ref="AC20:AC21" si="21">AB20/$Z$11*100</f>
        <v>0</v>
      </c>
      <c r="AD20" s="36">
        <f>G20*(V20-23)/100</f>
        <v>0</v>
      </c>
      <c r="AE20" s="36">
        <f>(AD20*0.2+AD20*0.05)</f>
        <v>0</v>
      </c>
      <c r="AF20" s="36">
        <f>AD20-AE20</f>
        <v>0</v>
      </c>
      <c r="AG20" s="36"/>
      <c r="AI20" s="229" t="e">
        <f>#REF!-G20</f>
        <v>#REF!</v>
      </c>
    </row>
    <row r="21" spans="2:37" ht="20.25" customHeight="1">
      <c r="B21" s="125"/>
      <c r="C21" s="319"/>
      <c r="D21" s="320"/>
      <c r="E21" s="321"/>
      <c r="F21" s="321"/>
      <c r="G21" s="124"/>
      <c r="H21" s="322"/>
      <c r="I21" s="323"/>
      <c r="J21" s="201"/>
      <c r="K21" s="201"/>
      <c r="L21" s="324"/>
      <c r="M21" s="324"/>
      <c r="N21" s="324"/>
      <c r="O21" s="200"/>
      <c r="P21" s="204"/>
      <c r="Q21" s="204"/>
      <c r="R21" s="204"/>
      <c r="S21" s="204"/>
      <c r="T21" s="204"/>
      <c r="U21" s="311"/>
      <c r="V21" s="305"/>
      <c r="W21" s="332"/>
      <c r="X21" s="205"/>
      <c r="Y21" s="49"/>
      <c r="Z21" s="42">
        <f t="shared" si="18"/>
        <v>0</v>
      </c>
      <c r="AA21" s="142">
        <f t="shared" si="19"/>
        <v>0</v>
      </c>
      <c r="AB21" s="42">
        <f t="shared" si="20"/>
        <v>0</v>
      </c>
      <c r="AC21" s="142">
        <f t="shared" si="21"/>
        <v>0</v>
      </c>
      <c r="AD21" s="36">
        <f>G21*(V21-25)/100</f>
        <v>0</v>
      </c>
      <c r="AE21" s="36">
        <f t="shared" ref="AE21" si="22">(AD21*0.2+AD21*0.05)</f>
        <v>0</v>
      </c>
      <c r="AF21" s="36">
        <f t="shared" ref="AF21" si="23">AD21-AE21</f>
        <v>0</v>
      </c>
      <c r="AG21" s="36"/>
      <c r="AI21" s="229" t="e">
        <f>#REF!-G21</f>
        <v>#REF!</v>
      </c>
    </row>
    <row r="22" spans="2:37" ht="46.9" customHeight="1">
      <c r="B22" s="125">
        <v>4</v>
      </c>
      <c r="C22" s="251" t="str">
        <f>'Paket PRIM 2019'!C26</f>
        <v>P9</v>
      </c>
      <c r="D22" s="287" t="str">
        <f>'Paket PRIM 2019'!D26</f>
        <v>Paket IX (sembilan) Rehabilitasi/Pemeliharaan Berkala Ruas Jalan (011) Gerung - Bantir, RM + BMW 5 Ruas (Dana PRIM)</v>
      </c>
      <c r="E22" s="247">
        <f>'Paket PRIM 2019'!E28</f>
        <v>3</v>
      </c>
      <c r="F22" s="247">
        <f>'Paket PRIM 2019'!F28</f>
        <v>31.6</v>
      </c>
      <c r="G22" s="124">
        <f>'Paket PRIM 2019'!H26</f>
        <v>9419900000</v>
      </c>
      <c r="H22" s="124">
        <f>'Paket PRIM 2019'!I28</f>
        <v>9419900000</v>
      </c>
      <c r="I22" s="103">
        <f>'Real UM&amp;MC (per-bulan) '!T23</f>
        <v>3581100500</v>
      </c>
      <c r="J22" s="201">
        <f>I22/H22*100</f>
        <v>38.01633244514273</v>
      </c>
      <c r="K22" s="201" t="e">
        <f>#REF!/#REF!*100</f>
        <v>#REF!</v>
      </c>
      <c r="L22" s="211">
        <v>16.992999999999999</v>
      </c>
      <c r="M22" s="211">
        <v>5.593</v>
      </c>
      <c r="N22" s="211">
        <f t="shared" ref="N22" si="24">M22-L22</f>
        <v>-11.399999999999999</v>
      </c>
      <c r="O22" s="206" t="e">
        <f>#REF!-#REF!</f>
        <v>#REF!</v>
      </c>
      <c r="P22" s="212" t="e">
        <f>O22/#REF!*100</f>
        <v>#REF!</v>
      </c>
      <c r="Q22" s="212" t="e">
        <f t="shared" ref="Q22" si="25">O22/H22*100</f>
        <v>#REF!</v>
      </c>
      <c r="R22" s="212" t="e">
        <f>U22/#REF!*100</f>
        <v>#REF!</v>
      </c>
      <c r="S22" s="212" t="e">
        <f>V22/#REF!*100</f>
        <v>#REF!</v>
      </c>
      <c r="T22" s="212" t="e">
        <f>S22-R22</f>
        <v>#REF!</v>
      </c>
      <c r="U22" s="305">
        <v>16.21</v>
      </c>
      <c r="V22" s="305">
        <v>21.92</v>
      </c>
      <c r="W22" s="332">
        <f>V22-U22</f>
        <v>5.7100000000000009</v>
      </c>
      <c r="X22" s="205">
        <f t="shared" ref="X22" si="26">AC22</f>
        <v>2.9871565302933862</v>
      </c>
      <c r="Y22" s="49"/>
      <c r="Z22" s="42">
        <f t="shared" ref="Z22:Z24" si="27">(U22*H22)/100</f>
        <v>1526965790</v>
      </c>
      <c r="AA22" s="142">
        <f t="shared" ref="AA22:AA24" si="28">Z22/$Z$11*100</f>
        <v>2.209024058214224</v>
      </c>
      <c r="AB22" s="42">
        <f t="shared" ref="AB22:AB24" si="29">(V22*H22)/100</f>
        <v>2064842080.0000002</v>
      </c>
      <c r="AC22" s="142">
        <f t="shared" ref="AC22:AC24" si="30">AB22/$Z$11*100</f>
        <v>2.9871565302933862</v>
      </c>
      <c r="AD22" s="36">
        <f>G22*25/100</f>
        <v>2354975000</v>
      </c>
      <c r="AE22" s="36">
        <f>(AD22*0.2+AD22*0.05)</f>
        <v>588743750</v>
      </c>
      <c r="AF22" s="36">
        <f>AD22-AE22</f>
        <v>1766231250</v>
      </c>
      <c r="AG22" s="36">
        <v>5765433075</v>
      </c>
      <c r="AH22" s="35">
        <f>AG22+AF22</f>
        <v>7531664325</v>
      </c>
      <c r="AI22" s="229" t="e">
        <f>#REF!-G22</f>
        <v>#REF!</v>
      </c>
    </row>
    <row r="23" spans="2:37" ht="19.5" hidden="1" customHeight="1">
      <c r="B23" s="125"/>
      <c r="C23" s="319"/>
      <c r="D23" s="320"/>
      <c r="E23" s="321"/>
      <c r="F23" s="321"/>
      <c r="G23" s="124"/>
      <c r="H23" s="322"/>
      <c r="I23" s="323"/>
      <c r="J23" s="201"/>
      <c r="K23" s="201"/>
      <c r="L23" s="324"/>
      <c r="M23" s="324"/>
      <c r="N23" s="324"/>
      <c r="O23" s="200"/>
      <c r="P23" s="204"/>
      <c r="Q23" s="204"/>
      <c r="R23" s="204"/>
      <c r="S23" s="204"/>
      <c r="T23" s="204"/>
      <c r="U23" s="311"/>
      <c r="V23" s="305"/>
      <c r="W23" s="332"/>
      <c r="X23" s="205"/>
      <c r="Y23" s="49"/>
      <c r="Z23" s="42">
        <f t="shared" si="27"/>
        <v>0</v>
      </c>
      <c r="AA23" s="142">
        <f t="shared" si="28"/>
        <v>0</v>
      </c>
      <c r="AB23" s="42">
        <f t="shared" si="29"/>
        <v>0</v>
      </c>
      <c r="AC23" s="142">
        <f t="shared" si="30"/>
        <v>0</v>
      </c>
      <c r="AD23" s="36">
        <f>G23*(V23-23)/100</f>
        <v>0</v>
      </c>
      <c r="AE23" s="36">
        <f>(AD23*0.2+AD23*0.05)</f>
        <v>0</v>
      </c>
      <c r="AF23" s="36">
        <f>AD23-AE23</f>
        <v>0</v>
      </c>
      <c r="AG23" s="36"/>
      <c r="AI23" s="229" t="e">
        <f>#REF!-G23</f>
        <v>#REF!</v>
      </c>
    </row>
    <row r="24" spans="2:37" ht="18.75" customHeight="1">
      <c r="B24" s="125"/>
      <c r="C24" s="319"/>
      <c r="D24" s="320"/>
      <c r="E24" s="321"/>
      <c r="F24" s="321"/>
      <c r="G24" s="124"/>
      <c r="H24" s="322"/>
      <c r="I24" s="323"/>
      <c r="J24" s="201"/>
      <c r="K24" s="201"/>
      <c r="L24" s="324"/>
      <c r="M24" s="324"/>
      <c r="N24" s="324"/>
      <c r="O24" s="200"/>
      <c r="P24" s="204"/>
      <c r="Q24" s="204"/>
      <c r="R24" s="204"/>
      <c r="S24" s="204"/>
      <c r="T24" s="204"/>
      <c r="U24" s="311"/>
      <c r="V24" s="305"/>
      <c r="W24" s="332"/>
      <c r="X24" s="205"/>
      <c r="Y24" s="49"/>
      <c r="Z24" s="42">
        <f t="shared" si="27"/>
        <v>0</v>
      </c>
      <c r="AA24" s="142">
        <f t="shared" si="28"/>
        <v>0</v>
      </c>
      <c r="AB24" s="42">
        <f t="shared" si="29"/>
        <v>0</v>
      </c>
      <c r="AC24" s="142">
        <f t="shared" si="30"/>
        <v>0</v>
      </c>
      <c r="AD24" s="36">
        <f>G24*(V24-25)/100</f>
        <v>0</v>
      </c>
      <c r="AE24" s="36">
        <f t="shared" ref="AE24" si="31">(AD24*0.2+AD24*0.05)</f>
        <v>0</v>
      </c>
      <c r="AF24" s="36">
        <f t="shared" ref="AF24" si="32">AD24-AE24</f>
        <v>0</v>
      </c>
      <c r="AG24" s="36"/>
      <c r="AI24" s="229" t="e">
        <f>#REF!-G24</f>
        <v>#REF!</v>
      </c>
    </row>
    <row r="25" spans="2:37" ht="46.9" customHeight="1">
      <c r="B25" s="125">
        <v>5</v>
      </c>
      <c r="C25" s="251" t="str">
        <f>'Paket PRIM 2019'!C30</f>
        <v>P 10</v>
      </c>
      <c r="D25" s="287" t="str">
        <f>'Paket PRIM 2019'!D30</f>
        <v>Paket X (sepuluh) Rehabilitasi/Pemeliharaan Berkala Ruas Jalan (057) Keru - Suranadi, RM + BMW 7 Ruas (Dana PRIM)</v>
      </c>
      <c r="E25" s="247">
        <f>'Paket PRIM 2019'!E32</f>
        <v>6.5069999999999997</v>
      </c>
      <c r="F25" s="247">
        <f>'Paket PRIM 2019'!F32</f>
        <v>16.931000000000001</v>
      </c>
      <c r="G25" s="124">
        <f>'Paket PRIM 2019'!H30</f>
        <v>19368000000</v>
      </c>
      <c r="H25" s="124">
        <f>'Paket PRIM 2019'!I32</f>
        <v>19368000000</v>
      </c>
      <c r="I25" s="103">
        <f>'Real UM&amp;MC (per-bulan) '!T26</f>
        <v>8020433800</v>
      </c>
      <c r="J25" s="201">
        <f>I25/H25*100</f>
        <v>41.410748657579511</v>
      </c>
      <c r="K25" s="201" t="e">
        <f>#REF!/#REF!*100</f>
        <v>#REF!</v>
      </c>
      <c r="L25" s="211">
        <v>16.992999999999999</v>
      </c>
      <c r="M25" s="211">
        <v>5.593</v>
      </c>
      <c r="N25" s="211">
        <f t="shared" ref="N25" si="33">M25-L25</f>
        <v>-11.399999999999999</v>
      </c>
      <c r="O25" s="206" t="e">
        <f>#REF!-#REF!</f>
        <v>#REF!</v>
      </c>
      <c r="P25" s="212" t="e">
        <f>O25/#REF!*100</f>
        <v>#REF!</v>
      </c>
      <c r="Q25" s="212" t="e">
        <f t="shared" ref="Q25" si="34">O25/H25*100</f>
        <v>#REF!</v>
      </c>
      <c r="R25" s="212" t="e">
        <f>U25/#REF!*100</f>
        <v>#REF!</v>
      </c>
      <c r="S25" s="212" t="e">
        <f>V25/#REF!*100</f>
        <v>#REF!</v>
      </c>
      <c r="T25" s="212" t="e">
        <f>S25-R25</f>
        <v>#REF!</v>
      </c>
      <c r="U25" s="305">
        <v>26.613</v>
      </c>
      <c r="V25" s="305">
        <v>31.076000000000001</v>
      </c>
      <c r="W25" s="332">
        <f>V25-U25</f>
        <v>4.463000000000001</v>
      </c>
      <c r="X25" s="205">
        <f t="shared" ref="X25" si="35">AC25</f>
        <v>8.7072502748683522</v>
      </c>
      <c r="Y25" s="49"/>
      <c r="Z25" s="42">
        <f t="shared" ref="Z25:Z27" si="36">(U25*H25)/100</f>
        <v>5154405840</v>
      </c>
      <c r="AA25" s="142">
        <f t="shared" ref="AA25:AA27" si="37">Z25/$Z$11*100</f>
        <v>7.4567528499508136</v>
      </c>
      <c r="AB25" s="42">
        <f t="shared" ref="AB25:AB27" si="38">(V25*H25)/100</f>
        <v>6018799680</v>
      </c>
      <c r="AC25" s="142">
        <f t="shared" ref="AC25:AC27" si="39">AB25/$Z$11*100</f>
        <v>8.7072502748683522</v>
      </c>
      <c r="AD25" s="36">
        <f>G25*25/100</f>
        <v>4842000000</v>
      </c>
      <c r="AE25" s="36">
        <f>(AD25*0.2+AD25*0.05)</f>
        <v>1210500000</v>
      </c>
      <c r="AF25" s="36">
        <f>AD25-AE25</f>
        <v>3631500000</v>
      </c>
      <c r="AG25" s="36">
        <v>5765433075</v>
      </c>
      <c r="AH25" s="35">
        <f>AG25+AF25</f>
        <v>9396933075</v>
      </c>
      <c r="AI25" s="229" t="e">
        <f>#REF!-G25</f>
        <v>#REF!</v>
      </c>
    </row>
    <row r="26" spans="2:37" ht="18.75" hidden="1" customHeight="1">
      <c r="B26" s="125"/>
      <c r="C26" s="319"/>
      <c r="D26" s="320"/>
      <c r="E26" s="321"/>
      <c r="F26" s="321"/>
      <c r="G26" s="124"/>
      <c r="H26" s="322"/>
      <c r="I26" s="323"/>
      <c r="J26" s="325"/>
      <c r="K26" s="201"/>
      <c r="L26" s="324"/>
      <c r="M26" s="324"/>
      <c r="N26" s="324"/>
      <c r="O26" s="200"/>
      <c r="P26" s="204"/>
      <c r="Q26" s="204"/>
      <c r="R26" s="204"/>
      <c r="S26" s="204"/>
      <c r="T26" s="204"/>
      <c r="U26" s="311"/>
      <c r="V26" s="305"/>
      <c r="W26" s="240"/>
      <c r="X26" s="205"/>
      <c r="Y26" s="49"/>
      <c r="Z26" s="42">
        <f t="shared" si="36"/>
        <v>0</v>
      </c>
      <c r="AA26" s="142">
        <f t="shared" si="37"/>
        <v>0</v>
      </c>
      <c r="AB26" s="42">
        <f t="shared" si="38"/>
        <v>0</v>
      </c>
      <c r="AC26" s="142">
        <f t="shared" si="39"/>
        <v>0</v>
      </c>
      <c r="AD26" s="36">
        <f>G26*(V26-23)/100</f>
        <v>0</v>
      </c>
      <c r="AE26" s="36">
        <f>(AD26*0.2+AD26*0.05)</f>
        <v>0</v>
      </c>
      <c r="AF26" s="36">
        <f>AD26-AE26</f>
        <v>0</v>
      </c>
      <c r="AG26" s="36"/>
      <c r="AI26" s="229" t="e">
        <f>#REF!-G26</f>
        <v>#REF!</v>
      </c>
    </row>
    <row r="27" spans="2:37" ht="13.5" customHeight="1">
      <c r="B27" s="125"/>
      <c r="C27" s="126"/>
      <c r="D27" s="111"/>
      <c r="E27" s="127"/>
      <c r="F27" s="127"/>
      <c r="G27" s="128"/>
      <c r="H27" s="179"/>
      <c r="I27" s="128"/>
      <c r="J27" s="326"/>
      <c r="K27" s="123"/>
      <c r="L27" s="128"/>
      <c r="M27" s="128"/>
      <c r="N27" s="128"/>
      <c r="O27" s="128"/>
      <c r="P27" s="129"/>
      <c r="Q27" s="134"/>
      <c r="R27" s="134" t="e">
        <f>U27/#REF!*100</f>
        <v>#REF!</v>
      </c>
      <c r="S27" s="134"/>
      <c r="T27" s="134"/>
      <c r="U27" s="152"/>
      <c r="V27" s="152"/>
      <c r="W27" s="152"/>
      <c r="X27" s="246"/>
      <c r="Y27" s="52"/>
      <c r="Z27" s="42">
        <f t="shared" si="36"/>
        <v>0</v>
      </c>
      <c r="AA27" s="142">
        <f t="shared" si="37"/>
        <v>0</v>
      </c>
      <c r="AB27" s="42">
        <f t="shared" si="38"/>
        <v>0</v>
      </c>
      <c r="AC27" s="142">
        <f t="shared" si="39"/>
        <v>0</v>
      </c>
      <c r="AD27" s="36">
        <f>G27*(V27-25)/100</f>
        <v>0</v>
      </c>
      <c r="AE27" s="36">
        <f t="shared" ref="AE27" si="40">(AD27*0.2+AD27*0.05)</f>
        <v>0</v>
      </c>
      <c r="AF27" s="36">
        <f t="shared" ref="AF27" si="41">AD27-AE27</f>
        <v>0</v>
      </c>
      <c r="AG27" s="36"/>
      <c r="AI27" s="229" t="e">
        <f>#REF!-G27</f>
        <v>#REF!</v>
      </c>
    </row>
    <row r="28" spans="2:37" ht="26.25" customHeight="1">
      <c r="B28" s="174"/>
      <c r="C28" s="479" t="s">
        <v>13</v>
      </c>
      <c r="D28" s="480"/>
      <c r="E28" s="177">
        <f t="shared" ref="E28:I28" si="42">SUM(E13:E27)</f>
        <v>23.436999999999998</v>
      </c>
      <c r="F28" s="177">
        <f t="shared" si="42"/>
        <v>123.32899999999999</v>
      </c>
      <c r="G28" s="178">
        <f t="shared" si="42"/>
        <v>69124000000</v>
      </c>
      <c r="H28" s="178">
        <f t="shared" si="42"/>
        <v>69124000000</v>
      </c>
      <c r="I28" s="178">
        <f t="shared" si="42"/>
        <v>31540049650</v>
      </c>
      <c r="J28" s="336">
        <f>I28/H28*100</f>
        <v>45.628218346739189</v>
      </c>
      <c r="K28" s="337" t="e">
        <f>#REF!/#REF!*100</f>
        <v>#REF!</v>
      </c>
      <c r="L28" s="338">
        <f>SUM(L27:L27)/5</f>
        <v>0</v>
      </c>
      <c r="M28" s="338">
        <f>SUM(M27:M27)/5</f>
        <v>0</v>
      </c>
      <c r="N28" s="338">
        <f>M28-L28</f>
        <v>0</v>
      </c>
      <c r="O28" s="175">
        <f>SUM(O27:O27)</f>
        <v>0</v>
      </c>
      <c r="P28" s="176" t="e">
        <f>O28/#REF!*100</f>
        <v>#REF!</v>
      </c>
      <c r="Q28" s="339">
        <f>O28/H28*100</f>
        <v>0</v>
      </c>
      <c r="R28" s="176" t="e">
        <f>SUM(R11:R27)/11</f>
        <v>#REF!</v>
      </c>
      <c r="S28" s="176" t="e">
        <f>SUM(S11:S27)/11</f>
        <v>#REF!</v>
      </c>
      <c r="T28" s="176" t="e">
        <f t="shared" ref="T28" si="43">S28-R28</f>
        <v>#REF!</v>
      </c>
      <c r="U28" s="412">
        <f>AA28</f>
        <v>30.418579017417972</v>
      </c>
      <c r="V28" s="412">
        <f>AC28</f>
        <v>41.053742773855674</v>
      </c>
      <c r="W28" s="412">
        <f>V28-U28</f>
        <v>10.635163756437702</v>
      </c>
      <c r="X28" s="413">
        <f>SUM(X13:X27)</f>
        <v>41.053742773855674</v>
      </c>
      <c r="Y28" s="51"/>
      <c r="Z28" s="296">
        <f>SUM(Z13:Z27)</f>
        <v>21026538560</v>
      </c>
      <c r="AA28" s="143">
        <f>SUM(AA13:AA27)</f>
        <v>30.418579017417972</v>
      </c>
      <c r="AB28" s="296">
        <f>SUM(AB13:AB27)</f>
        <v>28377989155</v>
      </c>
      <c r="AC28" s="143">
        <f>SUM(AC13:AC27)</f>
        <v>41.053742773855674</v>
      </c>
      <c r="AD28" s="143"/>
      <c r="AE28" s="143"/>
      <c r="AF28" s="143"/>
      <c r="AG28" s="143"/>
      <c r="AI28" s="1"/>
    </row>
    <row r="29" spans="2:37" ht="25.15" customHeight="1">
      <c r="B29" s="301" t="s">
        <v>15</v>
      </c>
      <c r="C29" s="69" t="s">
        <v>29</v>
      </c>
      <c r="D29" s="69"/>
      <c r="E29" s="70"/>
      <c r="F29" s="71"/>
      <c r="G29" s="70"/>
      <c r="H29" s="236"/>
      <c r="I29" s="235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193"/>
      <c r="Y29" s="51"/>
      <c r="Z29" s="296">
        <f>H33</f>
        <v>2876000000</v>
      </c>
      <c r="AA29" s="296"/>
      <c r="AB29" s="296"/>
      <c r="AC29" s="296"/>
      <c r="AD29" s="35"/>
    </row>
    <row r="30" spans="2:37" ht="23.25" customHeight="1">
      <c r="B30" s="406">
        <v>1</v>
      </c>
      <c r="C30" s="482" t="str">
        <f>'Real UM&amp;MC (per-bulan) '!C33</f>
        <v>E-KATALOG</v>
      </c>
      <c r="D30" s="483"/>
      <c r="E30" s="249">
        <v>0</v>
      </c>
      <c r="F30" s="420">
        <f>7.4+8.8+3.6+4+6.35+1.85+1.57</f>
        <v>33.570000000000007</v>
      </c>
      <c r="G30" s="422">
        <f>'Real UM&amp;MC (per-bulan) '!S33</f>
        <v>1546450600</v>
      </c>
      <c r="H30" s="422">
        <f>G30</f>
        <v>1546450600</v>
      </c>
      <c r="I30" s="311">
        <f>'Real UM&amp;MC (per-bulan) '!T33</f>
        <v>66834907.359999999</v>
      </c>
      <c r="J30" s="329">
        <f>I30/G30*100</f>
        <v>4.3218262102908422</v>
      </c>
      <c r="K30" s="136"/>
      <c r="L30" s="135"/>
      <c r="M30" s="135"/>
      <c r="N30" s="135"/>
      <c r="O30" s="136"/>
      <c r="P30" s="136"/>
      <c r="Q30" s="137"/>
      <c r="R30" s="137"/>
      <c r="S30" s="137"/>
      <c r="T30" s="137"/>
      <c r="U30" s="332">
        <v>8.85</v>
      </c>
      <c r="V30" s="305">
        <v>13.68</v>
      </c>
      <c r="W30" s="329">
        <f>V30-U30</f>
        <v>4.83</v>
      </c>
      <c r="X30" s="333">
        <f>AC30</f>
        <v>7.3558568178025041</v>
      </c>
      <c r="Y30" s="51"/>
      <c r="Z30" s="42">
        <f>(U30*H30)/100</f>
        <v>136860878.09999999</v>
      </c>
      <c r="AA30" s="142">
        <f>Z30/$Z$29*100</f>
        <v>4.7587231606397769</v>
      </c>
      <c r="AB30" s="42">
        <f>(V30*G30)/100</f>
        <v>211554442.08000001</v>
      </c>
      <c r="AC30" s="142">
        <f>AB30/$Z$29*100</f>
        <v>7.3558568178025041</v>
      </c>
      <c r="AD30" s="36"/>
      <c r="AE30" s="36"/>
    </row>
    <row r="31" spans="2:37" ht="23.25" customHeight="1">
      <c r="B31" s="315"/>
      <c r="C31" s="398"/>
      <c r="D31" s="399"/>
      <c r="E31" s="400"/>
      <c r="F31" s="421"/>
      <c r="G31" s="423"/>
      <c r="H31" s="423"/>
      <c r="I31" s="311"/>
      <c r="J31" s="401"/>
      <c r="K31" s="402"/>
      <c r="L31" s="403"/>
      <c r="M31" s="403"/>
      <c r="N31" s="403"/>
      <c r="O31" s="402"/>
      <c r="P31" s="402"/>
      <c r="Q31" s="404"/>
      <c r="R31" s="404"/>
      <c r="S31" s="404"/>
      <c r="T31" s="404"/>
      <c r="U31" s="414"/>
      <c r="V31" s="415"/>
      <c r="W31" s="401"/>
      <c r="X31" s="405"/>
      <c r="Y31" s="51"/>
      <c r="Z31" s="42"/>
      <c r="AA31" s="142"/>
      <c r="AB31" s="42"/>
      <c r="AC31" s="142"/>
      <c r="AD31" s="36"/>
      <c r="AE31" s="36"/>
    </row>
    <row r="32" spans="2:37" ht="23.25" customHeight="1">
      <c r="B32" s="125">
        <v>2</v>
      </c>
      <c r="C32" s="482" t="str">
        <f>'Real UM&amp;MC (per-bulan) '!C35</f>
        <v>SWAKELOLA</v>
      </c>
      <c r="D32" s="483"/>
      <c r="E32" s="277"/>
      <c r="F32" s="191">
        <v>23.46</v>
      </c>
      <c r="G32" s="422">
        <f>'Real UM&amp;MC (per-bulan) '!S35</f>
        <v>1329549400</v>
      </c>
      <c r="H32" s="422">
        <f>G32</f>
        <v>1329549400</v>
      </c>
      <c r="I32" s="311">
        <f>'Real UM&amp;MC (per-bulan) '!T35</f>
        <v>416393815</v>
      </c>
      <c r="J32" s="329">
        <f>I32/G32*100</f>
        <v>31.318416224323819</v>
      </c>
      <c r="K32" s="136"/>
      <c r="L32" s="135"/>
      <c r="M32" s="135"/>
      <c r="N32" s="135"/>
      <c r="O32" s="136"/>
      <c r="P32" s="136"/>
      <c r="Q32" s="137"/>
      <c r="R32" s="137"/>
      <c r="S32" s="137"/>
      <c r="T32" s="137"/>
      <c r="U32" s="332">
        <v>13.7</v>
      </c>
      <c r="V32" s="305">
        <v>22.67</v>
      </c>
      <c r="W32" s="329">
        <f>V32-U32</f>
        <v>8.9700000000000024</v>
      </c>
      <c r="X32" s="333">
        <f>AC32</f>
        <v>10.480140785118222</v>
      </c>
      <c r="Y32" s="51"/>
      <c r="Z32" s="42">
        <f>(U32*H32)/100</f>
        <v>182148267.80000001</v>
      </c>
      <c r="AA32" s="142">
        <f>Z32/$Z$29*100</f>
        <v>6.3333890055632818</v>
      </c>
      <c r="AB32" s="42">
        <f>(V32*G32)/100</f>
        <v>301408848.98000002</v>
      </c>
      <c r="AC32" s="142">
        <f>AB32/$Z$29*100</f>
        <v>10.480140785118222</v>
      </c>
      <c r="AD32" s="36"/>
      <c r="AE32" s="36"/>
    </row>
    <row r="33" spans="2:30" ht="23.25" customHeight="1">
      <c r="B33" s="233"/>
      <c r="C33" s="484" t="s">
        <v>12</v>
      </c>
      <c r="D33" s="485"/>
      <c r="E33" s="138">
        <f t="shared" ref="E33:I33" si="44">SUM(E30:E32)</f>
        <v>0</v>
      </c>
      <c r="F33" s="183">
        <f t="shared" si="44"/>
        <v>57.030000000000008</v>
      </c>
      <c r="G33" s="424">
        <f t="shared" si="44"/>
        <v>2876000000</v>
      </c>
      <c r="H33" s="424">
        <f t="shared" si="44"/>
        <v>2876000000</v>
      </c>
      <c r="I33" s="425">
        <f t="shared" si="44"/>
        <v>483228722.36000001</v>
      </c>
      <c r="J33" s="330">
        <f>I33/H33*100</f>
        <v>16.802111347705146</v>
      </c>
      <c r="K33" s="139">
        <f t="shared" ref="K33:T33" si="45">SUM(K30:K32)</f>
        <v>0</v>
      </c>
      <c r="L33" s="139">
        <f t="shared" si="45"/>
        <v>0</v>
      </c>
      <c r="M33" s="139">
        <f t="shared" si="45"/>
        <v>0</v>
      </c>
      <c r="N33" s="139">
        <f t="shared" si="45"/>
        <v>0</v>
      </c>
      <c r="O33" s="139">
        <f t="shared" si="45"/>
        <v>0</v>
      </c>
      <c r="P33" s="139">
        <f t="shared" si="45"/>
        <v>0</v>
      </c>
      <c r="Q33" s="139">
        <f t="shared" si="45"/>
        <v>0</v>
      </c>
      <c r="R33" s="139">
        <f t="shared" si="45"/>
        <v>0</v>
      </c>
      <c r="S33" s="139">
        <f t="shared" si="45"/>
        <v>0</v>
      </c>
      <c r="T33" s="139">
        <f t="shared" si="45"/>
        <v>0</v>
      </c>
      <c r="U33" s="330">
        <f>AA33</f>
        <v>11.092112166203059</v>
      </c>
      <c r="V33" s="330">
        <f>SUM(V30:V32)</f>
        <v>36.35</v>
      </c>
      <c r="W33" s="330">
        <f>V33-U33</f>
        <v>25.257887833796943</v>
      </c>
      <c r="X33" s="334">
        <f>AC33</f>
        <v>17.835997602920727</v>
      </c>
      <c r="Y33" s="51"/>
      <c r="Z33" s="296">
        <f>SUM(Z30:Z32)</f>
        <v>319009145.89999998</v>
      </c>
      <c r="AA33" s="149">
        <f>SUM(AA30:AA32)</f>
        <v>11.092112166203059</v>
      </c>
      <c r="AB33" s="149">
        <f>SUM(AB30:AB32)</f>
        <v>512963291.06000006</v>
      </c>
      <c r="AC33" s="143">
        <f>SUM(AC30:AC32)</f>
        <v>17.835997602920727</v>
      </c>
      <c r="AD33" s="35">
        <f>AB33/Z29*100</f>
        <v>17.835997602920724</v>
      </c>
    </row>
    <row r="34" spans="2:30" ht="30.75" customHeight="1" thickBot="1">
      <c r="B34" s="140"/>
      <c r="C34" s="486" t="s">
        <v>81</v>
      </c>
      <c r="D34" s="487"/>
      <c r="E34" s="180">
        <f t="shared" ref="E34:I34" si="46">E33+E28</f>
        <v>23.436999999999998</v>
      </c>
      <c r="F34" s="181">
        <f t="shared" si="46"/>
        <v>180.35900000000001</v>
      </c>
      <c r="G34" s="426">
        <f t="shared" si="46"/>
        <v>72000000000</v>
      </c>
      <c r="H34" s="426">
        <f t="shared" si="46"/>
        <v>72000000000</v>
      </c>
      <c r="I34" s="426">
        <f t="shared" si="46"/>
        <v>32023278372.360001</v>
      </c>
      <c r="J34" s="331">
        <f>I34/H34*100</f>
        <v>44.476775517166665</v>
      </c>
      <c r="K34" s="182" t="e">
        <f t="shared" ref="K34:T34" si="47">K33+K28</f>
        <v>#REF!</v>
      </c>
      <c r="L34" s="182">
        <f t="shared" si="47"/>
        <v>0</v>
      </c>
      <c r="M34" s="182">
        <f t="shared" si="47"/>
        <v>0</v>
      </c>
      <c r="N34" s="182">
        <f t="shared" si="47"/>
        <v>0</v>
      </c>
      <c r="O34" s="182">
        <f t="shared" si="47"/>
        <v>0</v>
      </c>
      <c r="P34" s="182" t="e">
        <f t="shared" si="47"/>
        <v>#REF!</v>
      </c>
      <c r="Q34" s="182">
        <f t="shared" si="47"/>
        <v>0</v>
      </c>
      <c r="R34" s="182" t="e">
        <f t="shared" si="47"/>
        <v>#REF!</v>
      </c>
      <c r="S34" s="182" t="e">
        <f t="shared" si="47"/>
        <v>#REF!</v>
      </c>
      <c r="T34" s="182" t="e">
        <f t="shared" si="47"/>
        <v>#REF!</v>
      </c>
      <c r="U34" s="416">
        <f>AA34</f>
        <v>29.646594035972225</v>
      </c>
      <c r="V34" s="417">
        <f>AC34</f>
        <v>40.126322841750003</v>
      </c>
      <c r="W34" s="417">
        <f>V34-U34</f>
        <v>10.479728805777778</v>
      </c>
      <c r="X34" s="335">
        <f>AC34</f>
        <v>40.126322841750003</v>
      </c>
      <c r="Y34" s="50"/>
      <c r="Z34" s="45">
        <f>Z33+Z28</f>
        <v>21345547705.900002</v>
      </c>
      <c r="AA34" s="144">
        <f>Z34/Z8*100</f>
        <v>29.646594035972225</v>
      </c>
      <c r="AB34" s="144">
        <f>AB33+AB28</f>
        <v>28890952446.060001</v>
      </c>
      <c r="AC34" s="144">
        <f>AB34/Z8*100</f>
        <v>40.126322841750003</v>
      </c>
      <c r="AD34" s="35">
        <f>AB34/Z29*100</f>
        <v>1004.5532839381085</v>
      </c>
    </row>
    <row r="35" spans="2:30" ht="19.899999999999999" customHeight="1">
      <c r="H35" s="35"/>
      <c r="I35" s="64"/>
      <c r="Q35" s="488"/>
      <c r="R35" s="488"/>
      <c r="S35" s="488"/>
      <c r="T35" s="488"/>
      <c r="U35" s="488"/>
      <c r="V35" s="488"/>
      <c r="W35" s="488"/>
      <c r="X35" s="488"/>
      <c r="Z35" s="189"/>
      <c r="AA35" s="190">
        <f>Z34/Z8*100</f>
        <v>29.646594035972225</v>
      </c>
      <c r="AB35" s="189"/>
      <c r="AC35" s="190">
        <f>AB34/Z8*100</f>
        <v>40.126322841750003</v>
      </c>
      <c r="AD35" s="189"/>
    </row>
    <row r="36" spans="2:30" ht="19.899999999999999" customHeight="1">
      <c r="G36" s="409"/>
      <c r="H36" s="35"/>
      <c r="I36" s="451" t="s">
        <v>104</v>
      </c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145"/>
      <c r="Z36" s="189"/>
      <c r="AA36" s="190"/>
      <c r="AB36" s="189"/>
      <c r="AC36" s="190"/>
      <c r="AD36" s="189"/>
    </row>
    <row r="37" spans="2:30" ht="19.899999999999999" customHeight="1">
      <c r="G37" s="36"/>
      <c r="H37" s="35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145"/>
      <c r="Z37" s="189"/>
      <c r="AA37" s="190"/>
      <c r="AB37" s="189"/>
      <c r="AC37" s="190"/>
      <c r="AD37" s="189"/>
    </row>
    <row r="38" spans="2:30" ht="19.899999999999999" customHeight="1">
      <c r="G38" s="35"/>
      <c r="H38" s="35"/>
      <c r="I38" s="64"/>
      <c r="Q38" s="145"/>
      <c r="R38" s="145"/>
      <c r="S38" s="145"/>
      <c r="T38" s="145"/>
      <c r="U38" s="145"/>
      <c r="V38" s="145"/>
      <c r="W38" s="145"/>
      <c r="X38" s="145"/>
      <c r="Z38" s="189"/>
      <c r="AA38" s="190"/>
      <c r="AB38" s="189"/>
      <c r="AC38" s="190"/>
      <c r="AD38" s="189"/>
    </row>
    <row r="39" spans="2:30" ht="19.899999999999999" customHeight="1">
      <c r="D39" s="1">
        <v>1509658000</v>
      </c>
      <c r="G39">
        <v>26005000</v>
      </c>
      <c r="H39" s="35"/>
      <c r="I39" s="64"/>
      <c r="Q39" s="145"/>
      <c r="R39" s="145"/>
      <c r="S39" s="145"/>
      <c r="T39" s="145"/>
      <c r="U39" s="145"/>
      <c r="V39" s="145"/>
      <c r="W39" s="145"/>
      <c r="X39" s="145"/>
      <c r="Z39" s="189"/>
      <c r="AA39" s="190"/>
      <c r="AB39" s="189"/>
      <c r="AC39" s="190"/>
      <c r="AD39" s="189"/>
    </row>
    <row r="40" spans="2:30" ht="19.899999999999999" customHeight="1">
      <c r="D40" s="1">
        <v>2720457000</v>
      </c>
      <c r="G40">
        <v>1483653000</v>
      </c>
      <c r="H40" s="35"/>
      <c r="I40" s="452" t="s">
        <v>105</v>
      </c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145"/>
      <c r="Z40" s="189"/>
      <c r="AA40" s="190"/>
      <c r="AB40" s="189"/>
      <c r="AC40" s="190"/>
      <c r="AD40" s="189"/>
    </row>
    <row r="41" spans="2:30" ht="19.899999999999999" customHeight="1">
      <c r="D41" s="1">
        <f>SUM(D38:D40)</f>
        <v>4230115000</v>
      </c>
      <c r="G41">
        <v>2720457000</v>
      </c>
      <c r="H41" s="35"/>
      <c r="I41" s="453" t="s">
        <v>106</v>
      </c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145"/>
      <c r="Z41" s="189"/>
      <c r="AA41" s="190"/>
      <c r="AB41" s="189"/>
      <c r="AC41" s="190"/>
      <c r="AD41" s="189"/>
    </row>
    <row r="42" spans="2:30" ht="19.899999999999999" customHeight="1">
      <c r="G42">
        <f>SUM(G39:G41)</f>
        <v>4230115000</v>
      </c>
      <c r="H42" s="35"/>
      <c r="I42" s="64"/>
      <c r="Q42" s="145"/>
      <c r="R42" s="145"/>
      <c r="S42" s="145"/>
      <c r="T42" s="145"/>
      <c r="U42" s="145"/>
      <c r="V42" s="145"/>
      <c r="W42" s="145"/>
      <c r="X42" s="145"/>
      <c r="Z42" s="189"/>
      <c r="AA42" s="190"/>
      <c r="AB42" s="189"/>
      <c r="AC42" s="190"/>
      <c r="AD42" s="189"/>
    </row>
    <row r="43" spans="2:30" ht="19.899999999999999" customHeight="1">
      <c r="D43" s="410">
        <f>[1]GELOGOR!$F$61+[1]BELJAGA!$F$59</f>
        <v>1478708</v>
      </c>
      <c r="H43" s="35"/>
      <c r="I43" s="64"/>
      <c r="Q43" s="145"/>
      <c r="R43" s="145"/>
      <c r="S43" s="145"/>
      <c r="T43" s="145"/>
      <c r="U43" s="145"/>
      <c r="V43" s="145"/>
      <c r="W43" s="145"/>
      <c r="X43" s="145"/>
      <c r="Z43" s="189"/>
      <c r="AA43" s="190"/>
      <c r="AB43" s="189"/>
      <c r="AC43" s="190"/>
      <c r="AD43" s="189"/>
    </row>
    <row r="44" spans="2:30" ht="19.899999999999999" customHeight="1">
      <c r="D44" s="411">
        <f>D43/G32*100</f>
        <v>0.11121873320389601</v>
      </c>
      <c r="H44" s="35"/>
      <c r="I44" s="64"/>
      <c r="Q44" s="145"/>
      <c r="R44" s="145"/>
      <c r="S44" s="145"/>
      <c r="T44" s="145"/>
      <c r="U44" s="145"/>
      <c r="V44" s="145"/>
      <c r="W44" s="145"/>
      <c r="X44" s="145"/>
      <c r="Z44" s="189"/>
      <c r="AA44" s="190"/>
      <c r="AB44" s="189"/>
      <c r="AC44" s="190"/>
      <c r="AD44" s="189"/>
    </row>
    <row r="45" spans="2:30" ht="19.899999999999999" customHeight="1">
      <c r="H45" s="35"/>
      <c r="I45" s="64"/>
      <c r="Q45" s="145"/>
      <c r="R45" s="145"/>
      <c r="S45" s="145"/>
      <c r="T45" s="145"/>
      <c r="U45" s="145"/>
      <c r="V45" s="145"/>
      <c r="W45" s="145"/>
      <c r="X45" s="145"/>
      <c r="Z45" s="189"/>
      <c r="AA45" s="190"/>
      <c r="AB45" s="189"/>
      <c r="AC45" s="190"/>
      <c r="AD45" s="189"/>
    </row>
    <row r="46" spans="2:30" ht="19.899999999999999" customHeight="1">
      <c r="H46" s="35"/>
      <c r="I46" s="64"/>
      <c r="Q46" s="145"/>
      <c r="R46" s="145"/>
      <c r="S46" s="145"/>
      <c r="T46" s="145"/>
      <c r="U46" s="145"/>
      <c r="V46" s="145"/>
      <c r="W46" s="145"/>
      <c r="X46" s="145"/>
      <c r="Z46" s="189"/>
      <c r="AA46" s="190"/>
      <c r="AB46" s="189"/>
      <c r="AC46" s="190"/>
      <c r="AD46" s="189"/>
    </row>
    <row r="47" spans="2:30" ht="19.899999999999999" customHeight="1">
      <c r="D47" s="411">
        <f>[1]GELOGOR!$F$61+[1]BELJAGA!$F$65+[1]KBNTALO!$F$63</f>
        <v>109590734.82499999</v>
      </c>
      <c r="H47" s="35"/>
      <c r="I47" s="64"/>
      <c r="Q47" s="145"/>
      <c r="R47" s="145"/>
      <c r="S47" s="145"/>
      <c r="T47" s="145"/>
      <c r="U47" s="145"/>
      <c r="V47" s="145"/>
      <c r="W47" s="145"/>
      <c r="X47" s="145"/>
      <c r="Z47" s="189"/>
      <c r="AA47" s="190"/>
      <c r="AB47" s="189"/>
      <c r="AC47" s="190"/>
      <c r="AD47" s="189"/>
    </row>
    <row r="48" spans="2:30" ht="19.899999999999999" customHeight="1">
      <c r="D48" s="411">
        <f>D47*0.1</f>
        <v>10959073.4825</v>
      </c>
      <c r="H48" s="35"/>
      <c r="I48" s="64"/>
      <c r="Q48" s="145"/>
      <c r="R48" s="145"/>
      <c r="S48" s="145"/>
      <c r="T48" s="145"/>
      <c r="U48" s="145"/>
      <c r="V48" s="145"/>
      <c r="W48" s="145"/>
      <c r="X48" s="145"/>
      <c r="Z48" s="189"/>
      <c r="AA48" s="190"/>
      <c r="AB48" s="189"/>
      <c r="AC48" s="190"/>
      <c r="AD48" s="189"/>
    </row>
    <row r="49" spans="3:30" ht="19.899999999999999" customHeight="1">
      <c r="C49" s="309" t="s">
        <v>97</v>
      </c>
      <c r="D49" s="411">
        <f>SUM(D47:D48)</f>
        <v>120549808.30749999</v>
      </c>
      <c r="H49" s="35"/>
      <c r="I49" s="64"/>
      <c r="Q49" s="145"/>
      <c r="R49" s="145"/>
      <c r="S49" s="145"/>
      <c r="T49" s="145"/>
      <c r="U49" s="145"/>
      <c r="V49" s="145"/>
      <c r="W49" s="145"/>
      <c r="X49" s="145"/>
      <c r="Z49" s="189"/>
      <c r="AA49" s="190"/>
      <c r="AB49" s="189"/>
      <c r="AC49" s="190"/>
      <c r="AD49" s="189"/>
    </row>
    <row r="50" spans="3:30" ht="19.899999999999999" customHeight="1">
      <c r="C50" s="310"/>
      <c r="D50" s="1">
        <f>D49/G32*100</f>
        <v>9.0669672226921385</v>
      </c>
      <c r="H50" s="35"/>
      <c r="I50" s="64"/>
      <c r="Q50" s="145"/>
      <c r="R50" s="145"/>
      <c r="S50" s="145"/>
      <c r="T50" s="145"/>
      <c r="U50" s="145"/>
      <c r="V50" s="145"/>
      <c r="W50" s="145"/>
      <c r="X50" s="145"/>
      <c r="Z50" s="189"/>
      <c r="AA50" s="190"/>
      <c r="AB50" s="189"/>
      <c r="AC50" s="190"/>
      <c r="AD50" s="189"/>
    </row>
    <row r="51" spans="3:30" ht="19.899999999999999" customHeight="1">
      <c r="C51" s="310"/>
      <c r="H51" s="35"/>
      <c r="I51" s="64"/>
      <c r="Q51" s="145"/>
      <c r="R51" s="145"/>
      <c r="S51" s="145"/>
      <c r="T51" s="145"/>
      <c r="U51" s="145"/>
      <c r="V51" s="145"/>
      <c r="W51" s="145"/>
      <c r="X51" s="145"/>
      <c r="Z51" s="189"/>
      <c r="AA51" s="190"/>
      <c r="AB51" s="189"/>
      <c r="AC51" s="190"/>
      <c r="AD51" s="189"/>
    </row>
    <row r="52" spans="3:30">
      <c r="H52" s="64"/>
      <c r="I52" s="35">
        <v>35431503316</v>
      </c>
    </row>
    <row r="53" spans="3:30" ht="21" customHeight="1">
      <c r="D53" s="340" t="s">
        <v>100</v>
      </c>
      <c r="G53" s="64"/>
      <c r="H53" s="150"/>
      <c r="I53" s="64">
        <v>4336653976</v>
      </c>
      <c r="K53" s="26"/>
      <c r="O53" s="63"/>
      <c r="V53">
        <v>90</v>
      </c>
      <c r="X53">
        <f>21.39/4</f>
        <v>5.3475000000000001</v>
      </c>
      <c r="AA53">
        <f>(Z33/Z29)*100</f>
        <v>11.092112166203059</v>
      </c>
    </row>
    <row r="54" spans="3:30">
      <c r="D54" s="340" t="s">
        <v>99</v>
      </c>
      <c r="G54" s="35"/>
      <c r="H54" s="150"/>
      <c r="I54" s="150">
        <f>I34+3000000000</f>
        <v>35023278372.360001</v>
      </c>
      <c r="X54">
        <f>X53*3</f>
        <v>16.0425</v>
      </c>
    </row>
    <row r="55" spans="3:30">
      <c r="D55" s="340" t="s">
        <v>98</v>
      </c>
      <c r="G55" s="35"/>
      <c r="H55" s="64"/>
      <c r="I55" s="150">
        <v>32913805176</v>
      </c>
      <c r="X55">
        <f>X54+17.26</f>
        <v>33.302500000000002</v>
      </c>
    </row>
    <row r="56" spans="3:30">
      <c r="G56" s="64"/>
      <c r="H56" s="35"/>
      <c r="I56" s="150"/>
    </row>
    <row r="57" spans="3:30" ht="14.25">
      <c r="G57" s="238"/>
      <c r="I57" s="178">
        <v>5351276300</v>
      </c>
    </row>
    <row r="58" spans="3:30">
      <c r="G58" s="35"/>
      <c r="H58" s="64"/>
    </row>
    <row r="59" spans="3:30">
      <c r="I59" s="281">
        <v>30080227016</v>
      </c>
    </row>
    <row r="60" spans="3:30" ht="14.25">
      <c r="H60" s="237"/>
      <c r="I60" s="150">
        <v>3000000000</v>
      </c>
    </row>
    <row r="62" spans="3:30">
      <c r="H62" s="160"/>
      <c r="I62" s="64">
        <f>SUM(I57:I60)</f>
        <v>38431503316</v>
      </c>
    </row>
    <row r="63" spans="3:30">
      <c r="H63" s="159"/>
      <c r="I63">
        <v>38431503316</v>
      </c>
    </row>
    <row r="64" spans="3:30">
      <c r="H64" s="64"/>
    </row>
    <row r="67" spans="7:9">
      <c r="I67" s="64">
        <f>G33-I33</f>
        <v>2392771277.6399999</v>
      </c>
    </row>
    <row r="69" spans="7:9">
      <c r="G69" s="64"/>
    </row>
    <row r="70" spans="7:9" ht="13.5" thickBot="1"/>
    <row r="71" spans="7:9" ht="15.75" thickBot="1">
      <c r="G71" s="154"/>
      <c r="H71" s="162"/>
    </row>
    <row r="72" spans="7:9" ht="15.75" thickBot="1">
      <c r="G72" s="156"/>
      <c r="H72" s="158"/>
    </row>
    <row r="73" spans="7:9" ht="13.5" thickBot="1">
      <c r="G73" s="155"/>
      <c r="H73" s="158"/>
    </row>
    <row r="74" spans="7:9" ht="15.75" thickBot="1">
      <c r="G74" s="154"/>
      <c r="H74" s="158"/>
    </row>
    <row r="75" spans="7:9" ht="15.75" thickBot="1">
      <c r="G75" s="157"/>
      <c r="H75" s="158"/>
    </row>
    <row r="76" spans="7:9" ht="13.5" thickBot="1">
      <c r="G76" s="158"/>
    </row>
    <row r="77" spans="7:9" ht="15.75" thickBot="1">
      <c r="G77" s="154"/>
    </row>
    <row r="78" spans="7:9" ht="15.75" thickBot="1">
      <c r="G78" s="157"/>
    </row>
    <row r="79" spans="7:9" ht="13.5" thickBot="1">
      <c r="G79" s="158"/>
    </row>
    <row r="81" spans="7:7">
      <c r="G81" s="150"/>
    </row>
    <row r="82" spans="7:7">
      <c r="G82" s="153"/>
    </row>
    <row r="83" spans="7:7">
      <c r="G83" s="161"/>
    </row>
    <row r="84" spans="7:7">
      <c r="G84" s="64"/>
    </row>
    <row r="85" spans="7:7">
      <c r="G85" s="64"/>
    </row>
  </sheetData>
  <mergeCells count="39">
    <mergeCell ref="C32:D32"/>
    <mergeCell ref="C33:D33"/>
    <mergeCell ref="C34:D34"/>
    <mergeCell ref="Q35:X35"/>
    <mergeCell ref="V7:V8"/>
    <mergeCell ref="W7:W8"/>
    <mergeCell ref="C30:D30"/>
    <mergeCell ref="O7:O8"/>
    <mergeCell ref="P7:P8"/>
    <mergeCell ref="R7:R8"/>
    <mergeCell ref="S7:S8"/>
    <mergeCell ref="I7:I8"/>
    <mergeCell ref="J7:K8"/>
    <mergeCell ref="L7:L8"/>
    <mergeCell ref="M7:M8"/>
    <mergeCell ref="N7:N8"/>
    <mergeCell ref="U6:W6"/>
    <mergeCell ref="X6:X8"/>
    <mergeCell ref="Z12:AA12"/>
    <mergeCell ref="AB12:AC12"/>
    <mergeCell ref="C28:D28"/>
    <mergeCell ref="T7:T8"/>
    <mergeCell ref="U7:U8"/>
    <mergeCell ref="I36:W37"/>
    <mergeCell ref="I40:W40"/>
    <mergeCell ref="I41:W41"/>
    <mergeCell ref="B2:X2"/>
    <mergeCell ref="B3:X3"/>
    <mergeCell ref="B4:X4"/>
    <mergeCell ref="B6:B8"/>
    <mergeCell ref="C6:C8"/>
    <mergeCell ref="D6:D8"/>
    <mergeCell ref="E6:F7"/>
    <mergeCell ref="G6:H6"/>
    <mergeCell ref="I6:K6"/>
    <mergeCell ref="L6:N6"/>
    <mergeCell ref="O6:P6"/>
    <mergeCell ref="Q6:Q8"/>
    <mergeCell ref="R6:T6"/>
  </mergeCells>
  <printOptions horizontalCentered="1"/>
  <pageMargins left="0.25" right="0" top="0.3" bottom="0" header="0.34" footer="0.14000000000000001"/>
  <pageSetup paperSize="9" scale="70" orientation="landscape" horizontalDpi="4294967294" verticalDpi="4294967293" r:id="rId1"/>
  <headerFooter alignWithMargins="0"/>
  <rowBreaks count="1" manualBreakCount="1">
    <brk id="4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F60"/>
  <sheetViews>
    <sheetView view="pageBreakPreview" topLeftCell="B5" zoomScaleSheetLayoutView="100" workbookViewId="0">
      <selection activeCell="F14" sqref="F14"/>
    </sheetView>
  </sheetViews>
  <sheetFormatPr defaultRowHeight="12.75"/>
  <cols>
    <col min="1" max="1" width="0.42578125" customWidth="1"/>
    <col min="2" max="2" width="5" customWidth="1"/>
    <col min="3" max="3" width="13.140625" customWidth="1"/>
    <col min="4" max="4" width="46.7109375" style="1" hidden="1" customWidth="1"/>
    <col min="5" max="5" width="0.140625" hidden="1" customWidth="1"/>
    <col min="6" max="6" width="16.42578125" customWidth="1"/>
    <col min="7" max="7" width="16" hidden="1" customWidth="1"/>
    <col min="8" max="8" width="16.7109375" customWidth="1"/>
    <col min="9" max="9" width="14.7109375" customWidth="1"/>
    <col min="10" max="10" width="16.42578125" customWidth="1"/>
    <col min="11" max="11" width="15.7109375" customWidth="1"/>
    <col min="12" max="12" width="16.85546875" customWidth="1"/>
    <col min="13" max="13" width="16.5703125" customWidth="1"/>
    <col min="14" max="14" width="14.7109375" customWidth="1"/>
    <col min="15" max="15" width="14" customWidth="1"/>
    <col min="16" max="16" width="15" customWidth="1"/>
    <col min="17" max="17" width="10" customWidth="1"/>
    <col min="18" max="18" width="15" customWidth="1"/>
    <col min="19" max="19" width="15.5703125" customWidth="1"/>
    <col min="20" max="20" width="16.7109375" customWidth="1"/>
    <col min="21" max="21" width="18" customWidth="1"/>
    <col min="22" max="22" width="9.85546875" customWidth="1"/>
    <col min="23" max="23" width="20.140625" customWidth="1"/>
    <col min="24" max="24" width="16.5703125" customWidth="1"/>
    <col min="25" max="25" width="22.28515625" customWidth="1"/>
    <col min="26" max="26" width="29" customWidth="1"/>
    <col min="27" max="27" width="28.5703125" customWidth="1"/>
    <col min="28" max="28" width="26.140625" customWidth="1"/>
    <col min="29" max="29" width="11.85546875" customWidth="1"/>
  </cols>
  <sheetData>
    <row r="1" spans="2:32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32" ht="22.5" customHeight="1">
      <c r="B2" s="511" t="s">
        <v>127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298"/>
      <c r="V2" s="298"/>
      <c r="W2" s="298"/>
      <c r="X2" s="298"/>
      <c r="Y2" s="2"/>
      <c r="Z2" s="2"/>
      <c r="AA2" s="2"/>
      <c r="AB2" s="2"/>
    </row>
    <row r="3" spans="2:32" ht="19.5">
      <c r="B3" s="455" t="s">
        <v>93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293"/>
      <c r="V3" s="291"/>
      <c r="W3" s="291"/>
      <c r="X3" s="291"/>
      <c r="Y3" s="3"/>
      <c r="Z3" s="3"/>
      <c r="AA3" s="3"/>
      <c r="AB3" s="3"/>
    </row>
    <row r="4" spans="2:32" ht="16.5" customHeight="1">
      <c r="B4" s="443" t="s">
        <v>126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292"/>
      <c r="V4" s="292"/>
      <c r="W4" s="292"/>
      <c r="X4" s="292"/>
      <c r="Y4" s="4"/>
      <c r="Z4" s="4"/>
      <c r="AA4" s="4"/>
      <c r="AB4" s="4"/>
    </row>
    <row r="5" spans="2:32" ht="16.5" customHeight="1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4"/>
      <c r="Z5" s="4"/>
      <c r="AA5" s="4"/>
      <c r="AB5" s="4"/>
    </row>
    <row r="6" spans="2:32" ht="20.25" customHeight="1" thickBot="1">
      <c r="D6"/>
      <c r="F6" s="18"/>
      <c r="G6" s="18"/>
      <c r="H6" s="18"/>
      <c r="I6" s="18"/>
      <c r="J6" s="18"/>
      <c r="K6" s="18"/>
      <c r="L6" s="17"/>
      <c r="U6" s="493" t="s">
        <v>131</v>
      </c>
      <c r="V6" s="494"/>
      <c r="Y6" s="18"/>
    </row>
    <row r="7" spans="2:32" ht="21" customHeight="1">
      <c r="B7" s="495" t="s">
        <v>20</v>
      </c>
      <c r="C7" s="431" t="s">
        <v>9</v>
      </c>
      <c r="D7" s="431" t="s">
        <v>1</v>
      </c>
      <c r="E7" s="499" t="s">
        <v>48</v>
      </c>
      <c r="F7" s="433" t="s">
        <v>88</v>
      </c>
      <c r="G7" s="434"/>
      <c r="H7" s="462" t="s">
        <v>42</v>
      </c>
      <c r="I7" s="504"/>
      <c r="J7" s="504"/>
      <c r="K7" s="504"/>
      <c r="L7" s="504"/>
      <c r="M7" s="504"/>
      <c r="N7" s="504"/>
      <c r="O7" s="504"/>
      <c r="P7" s="504"/>
      <c r="Q7" s="504"/>
      <c r="R7" s="300"/>
      <c r="S7" s="431" t="s">
        <v>44</v>
      </c>
      <c r="T7" s="431" t="s">
        <v>50</v>
      </c>
      <c r="U7" s="431" t="s">
        <v>49</v>
      </c>
      <c r="V7" s="439" t="s">
        <v>43</v>
      </c>
      <c r="W7" s="514" t="s">
        <v>95</v>
      </c>
      <c r="X7" s="47"/>
    </row>
    <row r="8" spans="2:32" ht="24" customHeight="1">
      <c r="B8" s="496"/>
      <c r="C8" s="498"/>
      <c r="D8" s="498"/>
      <c r="E8" s="500"/>
      <c r="F8" s="502"/>
      <c r="G8" s="503"/>
      <c r="H8" s="505" t="s">
        <v>33</v>
      </c>
      <c r="I8" s="507" t="s">
        <v>52</v>
      </c>
      <c r="J8" s="508"/>
      <c r="K8" s="508"/>
      <c r="L8" s="508"/>
      <c r="M8" s="508"/>
      <c r="N8" s="508"/>
      <c r="O8" s="508"/>
      <c r="P8" s="508"/>
      <c r="Q8" s="508"/>
      <c r="R8" s="509"/>
      <c r="S8" s="498"/>
      <c r="T8" s="498"/>
      <c r="U8" s="498"/>
      <c r="V8" s="440"/>
      <c r="W8" s="514"/>
      <c r="X8" s="47"/>
    </row>
    <row r="9" spans="2:32" ht="24" customHeight="1">
      <c r="B9" s="497"/>
      <c r="C9" s="432"/>
      <c r="D9" s="432"/>
      <c r="E9" s="501"/>
      <c r="F9" s="435"/>
      <c r="G9" s="436"/>
      <c r="H9" s="506"/>
      <c r="I9" s="241" t="s">
        <v>34</v>
      </c>
      <c r="J9" s="241" t="s">
        <v>35</v>
      </c>
      <c r="K9" s="241" t="s">
        <v>36</v>
      </c>
      <c r="L9" s="241" t="s">
        <v>37</v>
      </c>
      <c r="M9" s="241" t="s">
        <v>38</v>
      </c>
      <c r="N9" s="241" t="s">
        <v>39</v>
      </c>
      <c r="O9" s="241" t="s">
        <v>40</v>
      </c>
      <c r="P9" s="151" t="s">
        <v>41</v>
      </c>
      <c r="Q9" s="151" t="s">
        <v>76</v>
      </c>
      <c r="R9" s="151" t="s">
        <v>89</v>
      </c>
      <c r="S9" s="432"/>
      <c r="T9" s="432"/>
      <c r="U9" s="432"/>
      <c r="V9" s="510"/>
      <c r="W9" s="514"/>
      <c r="X9" s="47"/>
    </row>
    <row r="10" spans="2:32" ht="15" customHeight="1">
      <c r="B10" s="72">
        <v>1</v>
      </c>
      <c r="C10" s="73">
        <v>2</v>
      </c>
      <c r="D10" s="74">
        <v>2</v>
      </c>
      <c r="E10" s="75">
        <v>3</v>
      </c>
      <c r="F10" s="117">
        <v>3</v>
      </c>
      <c r="G10" s="117">
        <v>5</v>
      </c>
      <c r="H10" s="117">
        <v>4</v>
      </c>
      <c r="I10" s="117">
        <v>5</v>
      </c>
      <c r="J10" s="117">
        <v>6</v>
      </c>
      <c r="K10" s="117">
        <v>7</v>
      </c>
      <c r="L10" s="117">
        <v>8</v>
      </c>
      <c r="M10" s="117">
        <v>9</v>
      </c>
      <c r="N10" s="117">
        <v>10</v>
      </c>
      <c r="O10" s="117">
        <v>11</v>
      </c>
      <c r="P10" s="117">
        <v>12</v>
      </c>
      <c r="Q10" s="117">
        <v>13</v>
      </c>
      <c r="R10" s="117"/>
      <c r="S10" s="117">
        <v>14</v>
      </c>
      <c r="T10" s="117">
        <v>15</v>
      </c>
      <c r="U10" s="117">
        <v>16</v>
      </c>
      <c r="V10" s="163">
        <v>17</v>
      </c>
      <c r="W10" s="514"/>
      <c r="X10" s="38"/>
    </row>
    <row r="11" spans="2:32" ht="13.5" customHeight="1">
      <c r="B11" s="76"/>
      <c r="C11" s="77"/>
      <c r="D11" s="78"/>
      <c r="E11" s="79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83"/>
      <c r="V11" s="219"/>
      <c r="W11" s="514"/>
      <c r="X11" s="39"/>
    </row>
    <row r="12" spans="2:32" ht="29.45" customHeight="1">
      <c r="B12" s="84" t="s">
        <v>14</v>
      </c>
      <c r="C12" s="85" t="s">
        <v>8</v>
      </c>
      <c r="D12" s="8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220"/>
      <c r="W12" s="514"/>
      <c r="X12" s="40">
        <f>3%*F14</f>
        <v>298337760</v>
      </c>
      <c r="Y12" s="64">
        <f>X12+S14</f>
        <v>795567360</v>
      </c>
    </row>
    <row r="13" spans="2:32" ht="9.75" customHeight="1">
      <c r="B13" s="89"/>
      <c r="C13" s="90"/>
      <c r="D13" s="91"/>
      <c r="E13" s="92"/>
      <c r="F13" s="93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6"/>
      <c r="V13" s="221"/>
      <c r="W13" s="53"/>
      <c r="X13" s="41"/>
    </row>
    <row r="14" spans="2:32" ht="40.15" customHeight="1">
      <c r="B14" s="186">
        <v>1</v>
      </c>
      <c r="C14" s="251" t="str">
        <f>'Paket PRIM 2019'!C14</f>
        <v>P 6</v>
      </c>
      <c r="D14" s="114" t="s">
        <v>10</v>
      </c>
      <c r="E14" s="115">
        <v>42265902000</v>
      </c>
      <c r="F14" s="290">
        <f>'Paket PRIM 2019'!I14</f>
        <v>9944592000</v>
      </c>
      <c r="G14" s="97"/>
      <c r="H14" s="285">
        <f>F14*0.2</f>
        <v>1988918400</v>
      </c>
      <c r="I14" s="116">
        <v>0</v>
      </c>
      <c r="J14" s="116"/>
      <c r="K14" s="116"/>
      <c r="L14" s="116">
        <v>3010491750</v>
      </c>
      <c r="M14" s="308"/>
      <c r="N14" s="98"/>
      <c r="O14" s="101"/>
      <c r="P14" s="101"/>
      <c r="Q14" s="101"/>
      <c r="R14" s="101">
        <f>SUM(I14:Q14)</f>
        <v>3010491750</v>
      </c>
      <c r="S14" s="194">
        <f>5%*F14</f>
        <v>497229600</v>
      </c>
      <c r="T14" s="194">
        <f>SUM(I14:Q14)+H14</f>
        <v>4999410150</v>
      </c>
      <c r="U14" s="194">
        <f>F14-T14</f>
        <v>4945181850</v>
      </c>
      <c r="V14" s="313">
        <f>T14/F14*100</f>
        <v>50.272652211372773</v>
      </c>
      <c r="W14" s="58">
        <v>49.66</v>
      </c>
      <c r="X14" s="42" t="s">
        <v>45</v>
      </c>
      <c r="Y14" s="36">
        <f>F14*O14/100</f>
        <v>0</v>
      </c>
      <c r="Z14" s="36">
        <f t="shared" ref="Z14:AA17" si="0">E14*O14/100</f>
        <v>0</v>
      </c>
      <c r="AA14" s="36">
        <f t="shared" si="0"/>
        <v>0</v>
      </c>
      <c r="AB14" s="36">
        <f>E14*P14/100</f>
        <v>0</v>
      </c>
      <c r="AC14">
        <f>Y14/F14*100</f>
        <v>0</v>
      </c>
      <c r="AD14">
        <f t="shared" ref="AD14:AE17" si="1">Z14/E14*100</f>
        <v>0</v>
      </c>
      <c r="AE14" s="37">
        <f t="shared" si="1"/>
        <v>0</v>
      </c>
      <c r="AF14" s="37">
        <f>AB14/E14*100</f>
        <v>0</v>
      </c>
    </row>
    <row r="15" spans="2:32" ht="40.15" customHeight="1">
      <c r="B15" s="99"/>
      <c r="C15" s="251"/>
      <c r="D15" s="100"/>
      <c r="E15" s="115"/>
      <c r="F15" s="130"/>
      <c r="G15" s="130"/>
      <c r="H15" s="130"/>
      <c r="I15" s="101"/>
      <c r="J15" s="101"/>
      <c r="K15" s="101"/>
      <c r="L15" s="101"/>
      <c r="M15" s="102"/>
      <c r="N15" s="101"/>
      <c r="O15" s="102"/>
      <c r="P15" s="101"/>
      <c r="Q15" s="242"/>
      <c r="R15" s="101"/>
      <c r="S15" s="194">
        <f>5%*F15</f>
        <v>0</v>
      </c>
      <c r="T15" s="194"/>
      <c r="U15" s="194"/>
      <c r="V15" s="313"/>
      <c r="W15" s="112">
        <f>T15-H15</f>
        <v>0</v>
      </c>
      <c r="X15" s="113" t="e">
        <f>#REF!+#REF!</f>
        <v>#REF!</v>
      </c>
      <c r="Y15" s="36">
        <f>0.25*L15</f>
        <v>0</v>
      </c>
      <c r="Z15" s="36">
        <f t="shared" si="0"/>
        <v>0</v>
      </c>
      <c r="AA15" s="36">
        <f t="shared" si="0"/>
        <v>0</v>
      </c>
      <c r="AB15" s="36">
        <f>E15*P15/100</f>
        <v>0</v>
      </c>
      <c r="AC15" t="e">
        <f>Y15/F15*100</f>
        <v>#DIV/0!</v>
      </c>
      <c r="AD15" t="e">
        <f t="shared" si="1"/>
        <v>#DIV/0!</v>
      </c>
      <c r="AE15" s="37" t="e">
        <f t="shared" si="1"/>
        <v>#DIV/0!</v>
      </c>
      <c r="AF15" s="37" t="e">
        <f>AB15/E15*100</f>
        <v>#DIV/0!</v>
      </c>
    </row>
    <row r="16" spans="2:32" ht="40.15" customHeight="1">
      <c r="B16" s="99"/>
      <c r="C16" s="251"/>
      <c r="D16" s="100"/>
      <c r="E16" s="131"/>
      <c r="F16" s="130"/>
      <c r="G16" s="130"/>
      <c r="H16" s="130"/>
      <c r="I16" s="102"/>
      <c r="J16" s="102"/>
      <c r="K16" s="102"/>
      <c r="L16" s="101"/>
      <c r="M16" s="102"/>
      <c r="N16" s="102"/>
      <c r="O16" s="102"/>
      <c r="P16" s="104"/>
      <c r="Q16" s="104"/>
      <c r="R16" s="101"/>
      <c r="S16" s="194"/>
      <c r="T16" s="194"/>
      <c r="U16" s="194"/>
      <c r="V16" s="313"/>
      <c r="W16" s="59">
        <v>11.285</v>
      </c>
      <c r="X16" s="44">
        <f>S16-U16</f>
        <v>0</v>
      </c>
      <c r="Y16" s="36">
        <f>F16*O16/100</f>
        <v>0</v>
      </c>
      <c r="Z16" s="36">
        <f t="shared" si="0"/>
        <v>0</v>
      </c>
      <c r="AA16" s="36">
        <f t="shared" si="0"/>
        <v>0</v>
      </c>
      <c r="AB16" s="36">
        <f>E16*P16/100</f>
        <v>0</v>
      </c>
      <c r="AC16" t="e">
        <f>Y16/F16*100</f>
        <v>#DIV/0!</v>
      </c>
      <c r="AD16" t="e">
        <f t="shared" si="1"/>
        <v>#DIV/0!</v>
      </c>
      <c r="AE16" s="37" t="e">
        <f t="shared" si="1"/>
        <v>#DIV/0!</v>
      </c>
      <c r="AF16" s="37" t="e">
        <f>AB16/E16*100</f>
        <v>#DIV/0!</v>
      </c>
    </row>
    <row r="17" spans="2:32" ht="40.15" customHeight="1">
      <c r="B17" s="99">
        <v>2</v>
      </c>
      <c r="C17" s="251" t="str">
        <f>'Paket PRIM 2019'!C18</f>
        <v>P 7</v>
      </c>
      <c r="D17" s="114" t="s">
        <v>11</v>
      </c>
      <c r="E17" s="115">
        <v>58801980000</v>
      </c>
      <c r="F17" s="290">
        <f>'Paket PRIM 2019'!I18</f>
        <v>17616271000</v>
      </c>
      <c r="G17" s="263"/>
      <c r="H17" s="285">
        <f>F17*0.2</f>
        <v>3523254200</v>
      </c>
      <c r="I17" s="98">
        <v>1585425</v>
      </c>
      <c r="J17" s="98">
        <v>98430900</v>
      </c>
      <c r="K17" s="102">
        <v>2019693675</v>
      </c>
      <c r="L17" s="102">
        <v>4573255200</v>
      </c>
      <c r="M17" s="101"/>
      <c r="N17" s="101"/>
      <c r="O17" s="103"/>
      <c r="P17" s="239"/>
      <c r="Q17" s="194"/>
      <c r="R17" s="101">
        <f t="shared" ref="R17" si="2">SUM(I17:Q17)</f>
        <v>6692965200</v>
      </c>
      <c r="S17" s="97">
        <f>5%*F17</f>
        <v>880813550</v>
      </c>
      <c r="T17" s="194">
        <f t="shared" ref="T17" si="3">SUM(I17:Q17)+H17</f>
        <v>10216219400</v>
      </c>
      <c r="U17" s="194">
        <f t="shared" ref="U17" si="4">F17-T17</f>
        <v>7400051600</v>
      </c>
      <c r="V17" s="313">
        <f>T17/F17*100</f>
        <v>57.993087186272284</v>
      </c>
      <c r="W17" s="59">
        <v>23.547000000000001</v>
      </c>
      <c r="X17" s="44"/>
      <c r="Y17" s="36">
        <v>1188239100</v>
      </c>
      <c r="Z17" s="36">
        <f t="shared" si="0"/>
        <v>0</v>
      </c>
      <c r="AA17" s="36">
        <f t="shared" si="0"/>
        <v>0</v>
      </c>
      <c r="AB17" s="36">
        <f>E17*P17/100</f>
        <v>0</v>
      </c>
      <c r="AC17">
        <f>Y17/F17*100</f>
        <v>6.7451227334093575</v>
      </c>
      <c r="AD17">
        <f t="shared" si="1"/>
        <v>0</v>
      </c>
      <c r="AE17" s="37">
        <f t="shared" si="1"/>
        <v>0</v>
      </c>
      <c r="AF17" s="37">
        <f>AB17/E17*100</f>
        <v>0</v>
      </c>
    </row>
    <row r="18" spans="2:32" ht="40.15" customHeight="1">
      <c r="B18" s="99"/>
      <c r="C18" s="251"/>
      <c r="D18" s="114"/>
      <c r="E18" s="115"/>
      <c r="F18" s="290"/>
      <c r="G18" s="263"/>
      <c r="H18" s="290"/>
      <c r="I18" s="98"/>
      <c r="J18" s="98"/>
      <c r="K18" s="102"/>
      <c r="L18" s="102"/>
      <c r="M18" s="101"/>
      <c r="N18" s="101"/>
      <c r="O18" s="103"/>
      <c r="P18" s="239"/>
      <c r="Q18" s="194"/>
      <c r="R18" s="101"/>
      <c r="S18" s="97"/>
      <c r="T18" s="194"/>
      <c r="U18" s="194"/>
      <c r="V18" s="313"/>
      <c r="W18" s="59"/>
      <c r="X18" s="44"/>
      <c r="Y18" s="36"/>
      <c r="Z18" s="36"/>
      <c r="AA18" s="36"/>
      <c r="AB18" s="36"/>
      <c r="AE18" s="37"/>
      <c r="AF18" s="37"/>
    </row>
    <row r="19" spans="2:32" ht="40.15" customHeight="1">
      <c r="B19" s="99"/>
      <c r="C19" s="251"/>
      <c r="D19" s="114"/>
      <c r="E19" s="115"/>
      <c r="F19" s="290"/>
      <c r="G19" s="263"/>
      <c r="H19" s="290"/>
      <c r="I19" s="98"/>
      <c r="J19" s="98"/>
      <c r="K19" s="102"/>
      <c r="L19" s="102"/>
      <c r="M19" s="101"/>
      <c r="N19" s="101"/>
      <c r="O19" s="103"/>
      <c r="P19" s="239"/>
      <c r="Q19" s="194"/>
      <c r="R19" s="101"/>
      <c r="S19" s="97"/>
      <c r="T19" s="194"/>
      <c r="U19" s="194"/>
      <c r="V19" s="313"/>
      <c r="W19" s="59"/>
      <c r="X19" s="44"/>
      <c r="Y19" s="36"/>
      <c r="Z19" s="36"/>
      <c r="AA19" s="36"/>
      <c r="AB19" s="36"/>
      <c r="AE19" s="37"/>
      <c r="AF19" s="37"/>
    </row>
    <row r="20" spans="2:32" ht="40.15" customHeight="1">
      <c r="B20" s="99">
        <v>3</v>
      </c>
      <c r="C20" s="251" t="str">
        <f>'Paket PRIM 2019'!C22</f>
        <v>P 8</v>
      </c>
      <c r="D20" s="114" t="s">
        <v>11</v>
      </c>
      <c r="E20" s="115">
        <v>58801980000</v>
      </c>
      <c r="F20" s="290">
        <f>'Paket PRIM 2019'!I22</f>
        <v>11569999000</v>
      </c>
      <c r="G20" s="263"/>
      <c r="H20" s="285">
        <f>F20*0.2</f>
        <v>2313999800</v>
      </c>
      <c r="I20" s="98">
        <v>0</v>
      </c>
      <c r="J20" s="98">
        <v>255995000</v>
      </c>
      <c r="K20" s="102">
        <v>1706838100</v>
      </c>
      <c r="L20" s="102">
        <f>2408886000-K20-J20</f>
        <v>446052900</v>
      </c>
      <c r="M20" s="101"/>
      <c r="N20" s="101"/>
      <c r="O20" s="103"/>
      <c r="P20" s="239"/>
      <c r="Q20" s="194"/>
      <c r="R20" s="101">
        <f t="shared" ref="R20" si="5">SUM(I20:Q20)</f>
        <v>2408886000</v>
      </c>
      <c r="S20" s="97">
        <f>5%*F20</f>
        <v>578499950</v>
      </c>
      <c r="T20" s="194">
        <f t="shared" ref="T20" si="6">SUM(I20:Q20)+H20</f>
        <v>4722885800</v>
      </c>
      <c r="U20" s="194">
        <f t="shared" ref="U20" si="7">F20-T20</f>
        <v>6847113200</v>
      </c>
      <c r="V20" s="313">
        <f>T20/F20*100</f>
        <v>40.820105515998748</v>
      </c>
      <c r="W20" s="54">
        <f>U20+T20</f>
        <v>11569999000</v>
      </c>
      <c r="X20" s="142" t="e">
        <f>U20/G20*100</f>
        <v>#DIV/0!</v>
      </c>
      <c r="Y20" s="36">
        <f>0.95*W20</f>
        <v>10991499050</v>
      </c>
      <c r="Z20" s="36"/>
      <c r="AA20" s="36"/>
      <c r="AB20" s="36"/>
    </row>
    <row r="21" spans="2:32" ht="40.15" customHeight="1">
      <c r="B21" s="382"/>
      <c r="C21" s="383"/>
      <c r="D21" s="384"/>
      <c r="E21" s="385"/>
      <c r="F21" s="386"/>
      <c r="G21" s="386"/>
      <c r="H21" s="386"/>
      <c r="I21" s="356"/>
      <c r="J21" s="356"/>
      <c r="K21" s="357"/>
      <c r="L21" s="357"/>
      <c r="M21" s="356"/>
      <c r="N21" s="356"/>
      <c r="O21" s="358"/>
      <c r="P21" s="359"/>
      <c r="Q21" s="360"/>
      <c r="R21" s="356"/>
      <c r="S21" s="361"/>
      <c r="T21" s="362"/>
      <c r="U21" s="362"/>
      <c r="V21" s="363"/>
      <c r="W21" s="54"/>
      <c r="X21" s="142"/>
      <c r="Y21" s="36"/>
      <c r="Z21" s="36"/>
      <c r="AA21" s="36"/>
      <c r="AB21" s="36"/>
    </row>
    <row r="22" spans="2:32" ht="40.15" customHeight="1">
      <c r="B22" s="387"/>
      <c r="C22" s="388"/>
      <c r="D22" s="389"/>
      <c r="E22" s="390"/>
      <c r="F22" s="391"/>
      <c r="G22" s="391"/>
      <c r="H22" s="391"/>
      <c r="I22" s="364"/>
      <c r="J22" s="364"/>
      <c r="K22" s="365"/>
      <c r="L22" s="365"/>
      <c r="M22" s="364"/>
      <c r="N22" s="364"/>
      <c r="O22" s="366"/>
      <c r="P22" s="367"/>
      <c r="Q22" s="368"/>
      <c r="R22" s="364"/>
      <c r="S22" s="369"/>
      <c r="T22" s="370"/>
      <c r="U22" s="370"/>
      <c r="V22" s="371"/>
      <c r="W22" s="54"/>
      <c r="X22" s="142"/>
      <c r="Y22" s="36"/>
      <c r="Z22" s="36"/>
      <c r="AA22" s="36"/>
      <c r="AB22" s="36"/>
    </row>
    <row r="23" spans="2:32" ht="40.15" customHeight="1">
      <c r="B23" s="387">
        <v>3</v>
      </c>
      <c r="C23" s="388" t="str">
        <f>'Paket PRIM 2019'!C26</f>
        <v>P9</v>
      </c>
      <c r="D23" s="389" t="s">
        <v>11</v>
      </c>
      <c r="E23" s="390">
        <v>58801980000</v>
      </c>
      <c r="F23" s="391">
        <f>'Paket PRIM 2019'!I26</f>
        <v>8967055000</v>
      </c>
      <c r="G23" s="391"/>
      <c r="H23" s="285">
        <f>F23*0.3</f>
        <v>2690116500</v>
      </c>
      <c r="I23" s="372">
        <v>0</v>
      </c>
      <c r="J23" s="372"/>
      <c r="K23" s="365"/>
      <c r="L23" s="365">
        <v>890984000</v>
      </c>
      <c r="M23" s="364"/>
      <c r="N23" s="364"/>
      <c r="O23" s="373"/>
      <c r="P23" s="374"/>
      <c r="Q23" s="370"/>
      <c r="R23" s="364">
        <f t="shared" ref="R23" si="8">SUM(I23:Q23)</f>
        <v>890984000</v>
      </c>
      <c r="S23" s="375">
        <f>5%*F23</f>
        <v>448352750</v>
      </c>
      <c r="T23" s="370">
        <f t="shared" ref="T23" si="9">SUM(I23:Q23)+H23</f>
        <v>3581100500</v>
      </c>
      <c r="U23" s="370">
        <f t="shared" ref="U23" si="10">F23-T23</f>
        <v>5385954500</v>
      </c>
      <c r="V23" s="371">
        <f>T23/F23*100</f>
        <v>39.936194213150252</v>
      </c>
      <c r="W23" s="54">
        <f>U23+T23</f>
        <v>8967055000</v>
      </c>
      <c r="X23" s="142" t="e">
        <f>U23/G23*100</f>
        <v>#DIV/0!</v>
      </c>
      <c r="Y23" s="36">
        <f>0.95*W23</f>
        <v>8518702250</v>
      </c>
      <c r="Z23" s="36"/>
      <c r="AA23" s="36"/>
      <c r="AB23" s="36"/>
    </row>
    <row r="24" spans="2:32" ht="40.15" customHeight="1">
      <c r="B24" s="387"/>
      <c r="C24" s="388"/>
      <c r="D24" s="389"/>
      <c r="E24" s="390"/>
      <c r="F24" s="391"/>
      <c r="G24" s="391"/>
      <c r="H24" s="391"/>
      <c r="I24" s="364"/>
      <c r="J24" s="364"/>
      <c r="K24" s="365"/>
      <c r="L24" s="365"/>
      <c r="M24" s="364"/>
      <c r="N24" s="364"/>
      <c r="O24" s="366"/>
      <c r="P24" s="367"/>
      <c r="Q24" s="368"/>
      <c r="R24" s="364"/>
      <c r="S24" s="369"/>
      <c r="T24" s="370"/>
      <c r="U24" s="370"/>
      <c r="V24" s="371"/>
      <c r="W24" s="54"/>
      <c r="X24" s="142"/>
      <c r="Y24" s="36"/>
      <c r="Z24" s="36"/>
      <c r="AA24" s="36"/>
      <c r="AB24" s="36"/>
    </row>
    <row r="25" spans="2:32" ht="40.15" customHeight="1">
      <c r="B25" s="387"/>
      <c r="C25" s="388"/>
      <c r="D25" s="389"/>
      <c r="E25" s="390"/>
      <c r="F25" s="391"/>
      <c r="G25" s="391"/>
      <c r="H25" s="391"/>
      <c r="I25" s="364"/>
      <c r="J25" s="364"/>
      <c r="K25" s="365"/>
      <c r="L25" s="365"/>
      <c r="M25" s="364"/>
      <c r="N25" s="364"/>
      <c r="O25" s="366"/>
      <c r="P25" s="367"/>
      <c r="Q25" s="368"/>
      <c r="R25" s="364"/>
      <c r="S25" s="369"/>
      <c r="T25" s="370"/>
      <c r="U25" s="370"/>
      <c r="V25" s="371"/>
      <c r="W25" s="54"/>
      <c r="X25" s="142"/>
      <c r="Y25" s="36"/>
      <c r="Z25" s="36"/>
      <c r="AA25" s="36"/>
      <c r="AB25" s="36"/>
    </row>
    <row r="26" spans="2:32" ht="40.15" customHeight="1">
      <c r="B26" s="387">
        <v>3</v>
      </c>
      <c r="C26" s="388" t="str">
        <f>'Paket PRIM 2019'!C30</f>
        <v>P 10</v>
      </c>
      <c r="D26" s="389" t="s">
        <v>11</v>
      </c>
      <c r="E26" s="390">
        <v>58801980000</v>
      </c>
      <c r="F26" s="391">
        <f>'Paket PRIM 2019'!I30</f>
        <v>18951594000</v>
      </c>
      <c r="G26" s="391"/>
      <c r="H26" s="285">
        <f>F26*0.2</f>
        <v>3790318800</v>
      </c>
      <c r="I26" s="372">
        <v>0</v>
      </c>
      <c r="J26" s="372">
        <v>26005000</v>
      </c>
      <c r="K26" s="365">
        <v>1483653000</v>
      </c>
      <c r="L26" s="365">
        <v>2720457000</v>
      </c>
      <c r="M26" s="364"/>
      <c r="N26" s="364"/>
      <c r="O26" s="373"/>
      <c r="P26" s="374"/>
      <c r="Q26" s="370"/>
      <c r="R26" s="364">
        <f t="shared" ref="R26" si="11">SUM(I26:Q26)</f>
        <v>4230115000</v>
      </c>
      <c r="S26" s="375">
        <f>5%*F26</f>
        <v>947579700</v>
      </c>
      <c r="T26" s="370">
        <f t="shared" ref="T26" si="12">SUM(I26:Q26)+H26</f>
        <v>8020433800</v>
      </c>
      <c r="U26" s="370">
        <f t="shared" ref="U26" si="13">F26-T26</f>
        <v>10931160200</v>
      </c>
      <c r="V26" s="371">
        <f>T26/F26*100</f>
        <v>42.320629072150872</v>
      </c>
      <c r="W26" s="54">
        <f>U26+T26</f>
        <v>18951594000</v>
      </c>
      <c r="X26" s="142" t="e">
        <f>U26/G26*100</f>
        <v>#DIV/0!</v>
      </c>
      <c r="Y26" s="36">
        <f>0.95*W26</f>
        <v>18004014300</v>
      </c>
      <c r="Z26" s="36"/>
      <c r="AA26" s="36"/>
      <c r="AB26" s="36"/>
    </row>
    <row r="27" spans="2:32" ht="40.15" customHeight="1">
      <c r="B27" s="387"/>
      <c r="C27" s="388"/>
      <c r="D27" s="389"/>
      <c r="E27" s="390"/>
      <c r="F27" s="391"/>
      <c r="G27" s="391"/>
      <c r="H27" s="391"/>
      <c r="I27" s="364"/>
      <c r="J27" s="364"/>
      <c r="K27" s="365"/>
      <c r="L27" s="365"/>
      <c r="M27" s="364"/>
      <c r="N27" s="364"/>
      <c r="O27" s="366"/>
      <c r="P27" s="367"/>
      <c r="Q27" s="368"/>
      <c r="R27" s="364"/>
      <c r="S27" s="369"/>
      <c r="T27" s="370"/>
      <c r="U27" s="370"/>
      <c r="V27" s="371"/>
      <c r="W27" s="54"/>
      <c r="X27" s="142"/>
      <c r="Y27" s="36"/>
      <c r="Z27" s="36"/>
      <c r="AA27" s="36"/>
      <c r="AB27" s="36"/>
    </row>
    <row r="28" spans="2:32" ht="24" customHeight="1">
      <c r="B28" s="392"/>
      <c r="C28" s="393"/>
      <c r="D28" s="394"/>
      <c r="E28" s="395"/>
      <c r="F28" s="396"/>
      <c r="G28" s="396"/>
      <c r="H28" s="397"/>
      <c r="I28" s="376"/>
      <c r="J28" s="376"/>
      <c r="K28" s="377"/>
      <c r="L28" s="377"/>
      <c r="M28" s="378"/>
      <c r="N28" s="379"/>
      <c r="O28" s="379"/>
      <c r="P28" s="379"/>
      <c r="Q28" s="379"/>
      <c r="R28" s="379"/>
      <c r="S28" s="379"/>
      <c r="T28" s="380"/>
      <c r="U28" s="380"/>
      <c r="V28" s="381"/>
      <c r="W28" s="57"/>
      <c r="X28" s="46"/>
      <c r="Y28" s="35">
        <f>F28*O28/100</f>
        <v>0</v>
      </c>
    </row>
    <row r="29" spans="2:32" ht="40.15" customHeight="1">
      <c r="B29" s="164"/>
      <c r="C29" s="165" t="s">
        <v>13</v>
      </c>
      <c r="D29" s="165" t="s">
        <v>12</v>
      </c>
      <c r="E29" s="166" t="e">
        <f>SUM(#REF!)</f>
        <v>#REF!</v>
      </c>
      <c r="F29" s="185">
        <f t="shared" ref="F29:Q29" si="14">SUM(F14:F28)</f>
        <v>67049511000</v>
      </c>
      <c r="G29" s="185">
        <f t="shared" si="14"/>
        <v>0</v>
      </c>
      <c r="H29" s="185">
        <f t="shared" si="14"/>
        <v>14306607700</v>
      </c>
      <c r="I29" s="185">
        <f t="shared" si="14"/>
        <v>1585425</v>
      </c>
      <c r="J29" s="185">
        <f t="shared" si="14"/>
        <v>380430900</v>
      </c>
      <c r="K29" s="185">
        <f t="shared" si="14"/>
        <v>5210184775</v>
      </c>
      <c r="L29" s="185">
        <f t="shared" si="14"/>
        <v>11641240850</v>
      </c>
      <c r="M29" s="185">
        <f t="shared" si="14"/>
        <v>0</v>
      </c>
      <c r="N29" s="185">
        <f t="shared" si="14"/>
        <v>0</v>
      </c>
      <c r="O29" s="185">
        <f t="shared" si="14"/>
        <v>0</v>
      </c>
      <c r="P29" s="185">
        <f t="shared" si="14"/>
        <v>0</v>
      </c>
      <c r="Q29" s="185">
        <f t="shared" si="14"/>
        <v>0</v>
      </c>
      <c r="R29" s="185"/>
      <c r="S29" s="185">
        <f>SUM(S14:S28)</f>
        <v>3352475550</v>
      </c>
      <c r="T29" s="185">
        <f>SUM(T14:T28)</f>
        <v>31540049650</v>
      </c>
      <c r="U29" s="185">
        <f>SUM(U14:U28)</f>
        <v>35509461350</v>
      </c>
      <c r="V29" s="314">
        <f>T29/F29*100</f>
        <v>47.039939858770929</v>
      </c>
      <c r="W29" s="56"/>
      <c r="X29" s="296" t="e">
        <f>#REF!+#REF!+#REF!</f>
        <v>#REF!</v>
      </c>
      <c r="Y29" s="35">
        <f>F29*O29/100</f>
        <v>0</v>
      </c>
    </row>
    <row r="30" spans="2:32" ht="30" customHeight="1">
      <c r="B30" s="105" t="s">
        <v>15</v>
      </c>
      <c r="C30" s="512" t="s">
        <v>29</v>
      </c>
      <c r="D30" s="513"/>
      <c r="E30" s="513"/>
      <c r="F30" s="51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  <c r="U30" s="107"/>
      <c r="V30" s="222"/>
      <c r="W30" s="56"/>
      <c r="X30" s="296"/>
      <c r="Y30" s="35"/>
    </row>
    <row r="31" spans="2:32" ht="28.15" customHeight="1">
      <c r="B31" s="515" t="s">
        <v>20</v>
      </c>
      <c r="C31" s="517" t="s">
        <v>94</v>
      </c>
      <c r="D31" s="195"/>
      <c r="E31" s="195"/>
      <c r="F31" s="519" t="s">
        <v>63</v>
      </c>
      <c r="G31" s="196"/>
      <c r="H31" s="521" t="s">
        <v>53</v>
      </c>
      <c r="I31" s="522"/>
      <c r="J31" s="522"/>
      <c r="K31" s="522"/>
      <c r="L31" s="522"/>
      <c r="M31" s="522"/>
      <c r="N31" s="522"/>
      <c r="O31" s="522"/>
      <c r="P31" s="522"/>
      <c r="Q31" s="522"/>
      <c r="R31" s="302"/>
      <c r="S31" s="523" t="s">
        <v>18</v>
      </c>
      <c r="T31" s="523" t="s">
        <v>74</v>
      </c>
      <c r="U31" s="519" t="s">
        <v>64</v>
      </c>
      <c r="V31" s="525" t="s">
        <v>77</v>
      </c>
      <c r="W31" s="56"/>
      <c r="X31" s="296"/>
      <c r="Y31" s="35"/>
    </row>
    <row r="32" spans="2:32" ht="27.6" customHeight="1">
      <c r="B32" s="516"/>
      <c r="C32" s="518"/>
      <c r="D32" s="299"/>
      <c r="E32" s="299"/>
      <c r="F32" s="520"/>
      <c r="G32" s="197"/>
      <c r="H32" s="196" t="s">
        <v>54</v>
      </c>
      <c r="I32" s="196" t="s">
        <v>55</v>
      </c>
      <c r="J32" s="196" t="s">
        <v>56</v>
      </c>
      <c r="K32" s="196" t="s">
        <v>57</v>
      </c>
      <c r="L32" s="196" t="s">
        <v>73</v>
      </c>
      <c r="M32" s="196" t="s">
        <v>58</v>
      </c>
      <c r="N32" s="196" t="s">
        <v>59</v>
      </c>
      <c r="O32" s="196" t="s">
        <v>60</v>
      </c>
      <c r="P32" s="196" t="s">
        <v>61</v>
      </c>
      <c r="Q32" s="196" t="s">
        <v>62</v>
      </c>
      <c r="R32" s="196" t="s">
        <v>90</v>
      </c>
      <c r="S32" s="524"/>
      <c r="T32" s="524"/>
      <c r="U32" s="520"/>
      <c r="V32" s="526"/>
      <c r="W32" s="56"/>
      <c r="X32" s="296"/>
      <c r="Y32" s="35"/>
    </row>
    <row r="33" spans="2:25" ht="40.15" customHeight="1">
      <c r="B33" s="355">
        <v>1</v>
      </c>
      <c r="C33" s="168" t="s">
        <v>123</v>
      </c>
      <c r="D33" s="169" t="s">
        <v>30</v>
      </c>
      <c r="E33" s="170">
        <v>2703854507</v>
      </c>
      <c r="F33" s="407">
        <v>1546450600</v>
      </c>
      <c r="G33" s="171"/>
      <c r="H33" s="171"/>
      <c r="I33" s="288"/>
      <c r="J33" s="418">
        <v>66834907.359999999</v>
      </c>
      <c r="K33" s="289"/>
      <c r="L33" s="289"/>
      <c r="M33" s="170"/>
      <c r="N33" s="170"/>
      <c r="O33" s="170"/>
      <c r="P33" s="170"/>
      <c r="Q33" s="170"/>
      <c r="R33" s="280"/>
      <c r="S33" s="278">
        <f>F33</f>
        <v>1546450600</v>
      </c>
      <c r="T33" s="173">
        <f>SUM(H33:Q33)</f>
        <v>66834907.359999999</v>
      </c>
      <c r="U33" s="307">
        <f>S33-T33</f>
        <v>1479615692.6400001</v>
      </c>
      <c r="V33" s="223">
        <f>T33/S33*100</f>
        <v>4.3218262102908422</v>
      </c>
      <c r="W33" s="56">
        <f>S33-31422.69</f>
        <v>1546419177.3099999</v>
      </c>
      <c r="X33" s="296"/>
      <c r="Y33" s="35"/>
    </row>
    <row r="34" spans="2:25" ht="40.15" customHeight="1">
      <c r="B34" s="167"/>
      <c r="C34" s="168"/>
      <c r="D34" s="169"/>
      <c r="E34" s="170"/>
      <c r="F34" s="408"/>
      <c r="G34" s="103"/>
      <c r="H34" s="103"/>
      <c r="I34" s="103"/>
      <c r="J34" s="103"/>
      <c r="K34" s="170"/>
      <c r="L34" s="170"/>
      <c r="M34" s="172"/>
      <c r="N34" s="170"/>
      <c r="O34" s="170"/>
      <c r="P34" s="184"/>
      <c r="Q34" s="170"/>
      <c r="R34" s="170"/>
      <c r="S34" s="279"/>
      <c r="T34" s="173"/>
      <c r="U34" s="173"/>
      <c r="V34" s="223"/>
      <c r="W34" s="56">
        <f>W33-T33</f>
        <v>1479584269.95</v>
      </c>
      <c r="X34" s="296"/>
      <c r="Y34" s="35"/>
    </row>
    <row r="35" spans="2:25" ht="40.15" customHeight="1">
      <c r="B35" s="355">
        <v>2</v>
      </c>
      <c r="C35" s="354" t="s">
        <v>124</v>
      </c>
      <c r="D35" s="169"/>
      <c r="E35" s="170"/>
      <c r="F35" s="407">
        <f>2876000000-F33</f>
        <v>1329549400</v>
      </c>
      <c r="G35" s="170"/>
      <c r="H35" s="170">
        <v>9394000</v>
      </c>
      <c r="I35" s="170"/>
      <c r="J35" s="170">
        <f>63932000+46926000+72560000+115112000</f>
        <v>298530000</v>
      </c>
      <c r="K35" s="170">
        <f>54428525+54041290</f>
        <v>108469815</v>
      </c>
      <c r="L35" s="170"/>
      <c r="M35" s="172"/>
      <c r="N35" s="170"/>
      <c r="O35" s="170"/>
      <c r="P35" s="170"/>
      <c r="Q35" s="170"/>
      <c r="R35" s="170"/>
      <c r="S35" s="278">
        <f>F35</f>
        <v>1329549400</v>
      </c>
      <c r="T35" s="173">
        <f>SUM(H35:Q35)</f>
        <v>416393815</v>
      </c>
      <c r="U35" s="307">
        <f>S35-T35</f>
        <v>913155585</v>
      </c>
      <c r="V35" s="223"/>
      <c r="W35" s="56"/>
      <c r="X35" s="341"/>
      <c r="Y35" s="35"/>
    </row>
    <row r="36" spans="2:25" ht="34.9" customHeight="1">
      <c r="B36" s="118"/>
      <c r="C36" s="119" t="s">
        <v>70</v>
      </c>
      <c r="D36" s="120" t="s">
        <v>31</v>
      </c>
      <c r="E36" s="121">
        <f t="shared" ref="E36:Q36" si="15">SUM(E33:E34)</f>
        <v>2703854507</v>
      </c>
      <c r="F36" s="187">
        <f>SUM(F33:F35)</f>
        <v>2876000000</v>
      </c>
      <c r="G36" s="218">
        <f t="shared" si="15"/>
        <v>0</v>
      </c>
      <c r="H36" s="187">
        <f>SUM(H33:H35)</f>
        <v>9394000</v>
      </c>
      <c r="I36" s="187">
        <f t="shared" si="15"/>
        <v>0</v>
      </c>
      <c r="J36" s="218">
        <f t="shared" si="15"/>
        <v>66834907.359999999</v>
      </c>
      <c r="K36" s="187">
        <f t="shared" si="15"/>
        <v>0</v>
      </c>
      <c r="L36" s="187">
        <f t="shared" si="15"/>
        <v>0</v>
      </c>
      <c r="M36" s="187">
        <f t="shared" si="15"/>
        <v>0</v>
      </c>
      <c r="N36" s="121">
        <f t="shared" si="15"/>
        <v>0</v>
      </c>
      <c r="O36" s="121">
        <f t="shared" si="15"/>
        <v>0</v>
      </c>
      <c r="P36" s="121">
        <f t="shared" si="15"/>
        <v>0</v>
      </c>
      <c r="Q36" s="121">
        <f t="shared" si="15"/>
        <v>0</v>
      </c>
      <c r="R36" s="121"/>
      <c r="S36" s="187">
        <f>SUM(S33:S35)</f>
        <v>2876000000</v>
      </c>
      <c r="T36" s="187">
        <f>SUM(T33:T34)</f>
        <v>66834907.359999999</v>
      </c>
      <c r="U36" s="218">
        <f>SUM(U33:U35)</f>
        <v>2392771277.6400003</v>
      </c>
      <c r="V36" s="224">
        <f>T36/S36*100</f>
        <v>2.3238841223922115</v>
      </c>
      <c r="W36" s="56"/>
      <c r="X36" s="296"/>
      <c r="Y36" s="35"/>
    </row>
    <row r="37" spans="2:25" ht="37.15" customHeight="1" thickBot="1">
      <c r="B37" s="108"/>
      <c r="C37" s="122" t="s">
        <v>81</v>
      </c>
      <c r="D37" s="109" t="s">
        <v>32</v>
      </c>
      <c r="E37" s="110" t="e">
        <f>E29+#REF!+E36</f>
        <v>#REF!</v>
      </c>
      <c r="F37" s="192">
        <f t="shared" ref="F37:Q37" si="16">F36+F29</f>
        <v>69925511000</v>
      </c>
      <c r="G37" s="192">
        <f t="shared" si="16"/>
        <v>0</v>
      </c>
      <c r="H37" s="192">
        <f t="shared" si="16"/>
        <v>14316001700</v>
      </c>
      <c r="I37" s="192">
        <f t="shared" si="16"/>
        <v>1585425</v>
      </c>
      <c r="J37" s="419">
        <f t="shared" si="16"/>
        <v>447265807.36000001</v>
      </c>
      <c r="K37" s="192">
        <f t="shared" si="16"/>
        <v>5210184775</v>
      </c>
      <c r="L37" s="192">
        <f t="shared" si="16"/>
        <v>11641240850</v>
      </c>
      <c r="M37" s="192">
        <f t="shared" si="16"/>
        <v>0</v>
      </c>
      <c r="N37" s="192">
        <f t="shared" si="16"/>
        <v>0</v>
      </c>
      <c r="O37" s="192">
        <f t="shared" si="16"/>
        <v>0</v>
      </c>
      <c r="P37" s="192">
        <f t="shared" si="16"/>
        <v>0</v>
      </c>
      <c r="Q37" s="192">
        <f t="shared" si="16"/>
        <v>0</v>
      </c>
      <c r="R37" s="192"/>
      <c r="S37" s="192"/>
      <c r="T37" s="192">
        <f>T36+T29</f>
        <v>31606884557.360001</v>
      </c>
      <c r="U37" s="192">
        <f>U36+U29</f>
        <v>37902232627.639999</v>
      </c>
      <c r="V37" s="225">
        <f>T37/F37*100</f>
        <v>45.200791678676474</v>
      </c>
      <c r="W37" s="55"/>
      <c r="X37" s="45"/>
      <c r="Y37" s="35">
        <f>F37*O37/100</f>
        <v>0</v>
      </c>
    </row>
    <row r="38" spans="2:25" ht="11.25" customHeight="1">
      <c r="S38" s="488"/>
      <c r="T38" s="488"/>
      <c r="U38" s="145"/>
    </row>
    <row r="39" spans="2:25">
      <c r="F39" s="64"/>
    </row>
    <row r="40" spans="2:25" ht="12.75" customHeight="1"/>
    <row r="45" spans="2:25">
      <c r="L45">
        <f>2113900+131241200</f>
        <v>133355100</v>
      </c>
      <c r="M45" s="36">
        <f>1585425+98430900+2019693675</f>
        <v>2119710000</v>
      </c>
    </row>
    <row r="46" spans="2:25">
      <c r="H46">
        <f>3000000000*0.15</f>
        <v>450000000</v>
      </c>
      <c r="L46">
        <f>2692924900</f>
        <v>2692924900</v>
      </c>
    </row>
    <row r="47" spans="2:25">
      <c r="H47" s="64">
        <f>H37+H46</f>
        <v>14766001700</v>
      </c>
      <c r="L47" s="36">
        <f>SUM(L45:L46)</f>
        <v>2826280000</v>
      </c>
    </row>
    <row r="48" spans="2:25" ht="21" customHeight="1">
      <c r="I48">
        <v>227889350</v>
      </c>
      <c r="J48" s="36">
        <v>289907186.09976619</v>
      </c>
      <c r="K48" s="64">
        <f>K33+J33</f>
        <v>66834907.359999999</v>
      </c>
      <c r="L48" s="198">
        <v>1256200471</v>
      </c>
      <c r="M48" s="170">
        <f>177610000+166090000+150099000</f>
        <v>493799000</v>
      </c>
      <c r="N48" s="217">
        <v>3316411450</v>
      </c>
      <c r="Q48">
        <v>5175543850</v>
      </c>
      <c r="S48" s="64">
        <f>Q48-T33</f>
        <v>5108708942.6400003</v>
      </c>
      <c r="T48" s="150">
        <f>3747439000-T33</f>
        <v>3680604092.6399999</v>
      </c>
    </row>
    <row r="49" spans="8:20">
      <c r="L49" s="64" t="e">
        <f>L48-#REF!</f>
        <v>#REF!</v>
      </c>
      <c r="M49" s="170">
        <f>177610000+166090000+150099000+6305000+9830000+7673400+6594550</f>
        <v>524201950</v>
      </c>
      <c r="N49" s="198">
        <v>1298690100</v>
      </c>
      <c r="Q49" s="198">
        <v>1120623150</v>
      </c>
      <c r="R49" s="198"/>
      <c r="T49" s="150">
        <f>T48-T34</f>
        <v>3680604092.6399999</v>
      </c>
    </row>
    <row r="50" spans="8:20">
      <c r="H50">
        <v>25577151200</v>
      </c>
      <c r="K50">
        <v>116459471</v>
      </c>
      <c r="M50" s="150">
        <f>8265000+6305000+6739250+4167100</f>
        <v>25476350</v>
      </c>
      <c r="T50" s="150"/>
    </row>
    <row r="51" spans="8:20">
      <c r="M51" s="150">
        <f>8970000+8190000+8645000</f>
        <v>25805000</v>
      </c>
      <c r="Q51">
        <v>378277400</v>
      </c>
      <c r="T51" s="150">
        <v>1687214612</v>
      </c>
    </row>
    <row r="52" spans="8:20">
      <c r="K52" s="170">
        <v>1164458375</v>
      </c>
      <c r="L52" s="170">
        <v>42747096</v>
      </c>
      <c r="M52" s="64">
        <f>SUM(M49:M51)</f>
        <v>575483300</v>
      </c>
      <c r="Q52">
        <v>47570550</v>
      </c>
      <c r="T52" s="64">
        <f>T51-T34</f>
        <v>1687214612</v>
      </c>
    </row>
    <row r="53" spans="8:20">
      <c r="Q53">
        <f>SUM(Q51:Q52)</f>
        <v>425847950</v>
      </c>
    </row>
    <row r="54" spans="8:20">
      <c r="Q54" s="64" t="e">
        <f>#REF!-Q53</f>
        <v>#REF!</v>
      </c>
      <c r="R54" s="64"/>
    </row>
    <row r="55" spans="8:20">
      <c r="Q55" s="150">
        <v>5188148275</v>
      </c>
      <c r="R55" s="150"/>
      <c r="S55" s="35" t="e">
        <f>Q55/#REF!*100</f>
        <v>#REF!</v>
      </c>
    </row>
    <row r="56" spans="8:20">
      <c r="J56">
        <v>1585425</v>
      </c>
      <c r="Q56" s="64" t="e">
        <f>#REF!-Q55</f>
        <v>#REF!</v>
      </c>
      <c r="R56" s="64"/>
      <c r="T56" s="36">
        <f>4481294325</f>
        <v>4481294325</v>
      </c>
    </row>
    <row r="57" spans="8:20">
      <c r="J57">
        <v>98430900</v>
      </c>
      <c r="Q57" s="64" t="e">
        <f>Q54-Q56</f>
        <v>#REF!</v>
      </c>
      <c r="R57" s="64"/>
      <c r="T57" s="35" t="e">
        <f>#REF!-T56</f>
        <v>#REF!</v>
      </c>
    </row>
    <row r="58" spans="8:20">
      <c r="J58">
        <v>2019693675</v>
      </c>
      <c r="Q58" s="64" t="e">
        <f>Q57+Q51+Q52</f>
        <v>#REF!</v>
      </c>
      <c r="R58" s="64"/>
    </row>
    <row r="59" spans="8:20">
      <c r="J59">
        <f>SUM(J56:J58)</f>
        <v>2119710000</v>
      </c>
      <c r="T59">
        <f>5140577725</f>
        <v>5140577725</v>
      </c>
    </row>
    <row r="60" spans="8:20">
      <c r="T60" s="64" t="e">
        <f>T59-#REF!</f>
        <v>#REF!</v>
      </c>
    </row>
  </sheetData>
  <mergeCells count="27">
    <mergeCell ref="S38:T38"/>
    <mergeCell ref="C30:F30"/>
    <mergeCell ref="W7:W12"/>
    <mergeCell ref="B31:B32"/>
    <mergeCell ref="C31:C32"/>
    <mergeCell ref="F31:F32"/>
    <mergeCell ref="H31:Q31"/>
    <mergeCell ref="S31:S32"/>
    <mergeCell ref="T31:T32"/>
    <mergeCell ref="U31:U32"/>
    <mergeCell ref="V31:V32"/>
    <mergeCell ref="B2:T2"/>
    <mergeCell ref="B3:T3"/>
    <mergeCell ref="B4:T4"/>
    <mergeCell ref="S7:S9"/>
    <mergeCell ref="T7:T9"/>
    <mergeCell ref="U6:V6"/>
    <mergeCell ref="B7:B9"/>
    <mergeCell ref="C7:C9"/>
    <mergeCell ref="D7:D9"/>
    <mergeCell ref="E7:E9"/>
    <mergeCell ref="F7:G9"/>
    <mergeCell ref="H7:Q7"/>
    <mergeCell ref="H8:H9"/>
    <mergeCell ref="I8:R8"/>
    <mergeCell ref="U7:U9"/>
    <mergeCell ref="V7:V9"/>
  </mergeCells>
  <printOptions horizontalCentered="1"/>
  <pageMargins left="0.15" right="0" top="0.55000000000000004" bottom="0" header="0.34" footer="0.14000000000000001"/>
  <pageSetup paperSize="9" scale="56" orientation="landscape" horizontalDpi="4294967293" verticalDpi="4294967293" r:id="rId1"/>
  <headerFooter alignWithMargins="0"/>
  <rowBreaks count="1" manualBreakCount="1">
    <brk id="2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7"/>
  <sheetViews>
    <sheetView topLeftCell="A205" workbookViewId="0">
      <selection activeCell="F235" sqref="F235"/>
    </sheetView>
  </sheetViews>
  <sheetFormatPr defaultRowHeight="12.75"/>
  <cols>
    <col min="3" max="3" width="21.5703125" customWidth="1"/>
    <col min="6" max="6" width="24" customWidth="1"/>
  </cols>
  <sheetData>
    <row r="2" spans="2:6">
      <c r="B2">
        <v>1</v>
      </c>
      <c r="C2" s="146">
        <v>42109</v>
      </c>
    </row>
    <row r="3" spans="2:6">
      <c r="B3">
        <f>B2+1</f>
        <v>2</v>
      </c>
      <c r="C3" s="146">
        <v>42110</v>
      </c>
    </row>
    <row r="4" spans="2:6">
      <c r="B4">
        <f t="shared" ref="B4:B67" si="0">B3+1</f>
        <v>3</v>
      </c>
      <c r="C4" s="146">
        <v>42111</v>
      </c>
    </row>
    <row r="5" spans="2:6">
      <c r="B5">
        <f t="shared" si="0"/>
        <v>4</v>
      </c>
      <c r="C5" s="146">
        <v>42112</v>
      </c>
      <c r="F5" s="36">
        <v>197499113777</v>
      </c>
    </row>
    <row r="6" spans="2:6">
      <c r="B6">
        <f t="shared" si="0"/>
        <v>5</v>
      </c>
      <c r="C6" s="146">
        <v>42113</v>
      </c>
    </row>
    <row r="7" spans="2:6">
      <c r="B7">
        <f t="shared" si="0"/>
        <v>6</v>
      </c>
      <c r="C7" s="146">
        <v>42114</v>
      </c>
      <c r="F7">
        <v>45461208000</v>
      </c>
    </row>
    <row r="8" spans="2:6">
      <c r="B8">
        <f t="shared" si="0"/>
        <v>7</v>
      </c>
      <c r="C8" s="146">
        <v>42115</v>
      </c>
    </row>
    <row r="9" spans="2:6">
      <c r="B9">
        <f t="shared" si="0"/>
        <v>8</v>
      </c>
      <c r="C9" s="146">
        <v>42116</v>
      </c>
    </row>
    <row r="10" spans="2:6">
      <c r="B10">
        <f t="shared" si="0"/>
        <v>9</v>
      </c>
      <c r="C10" s="146">
        <v>42117</v>
      </c>
    </row>
    <row r="11" spans="2:6" ht="15">
      <c r="B11">
        <f t="shared" si="0"/>
        <v>10</v>
      </c>
      <c r="C11" s="146">
        <v>42118</v>
      </c>
      <c r="F11" s="132">
        <v>242960321777</v>
      </c>
    </row>
    <row r="12" spans="2:6">
      <c r="B12">
        <f t="shared" si="0"/>
        <v>11</v>
      </c>
      <c r="C12" s="146">
        <v>42119</v>
      </c>
    </row>
    <row r="13" spans="2:6" ht="14.25">
      <c r="B13">
        <f t="shared" si="0"/>
        <v>12</v>
      </c>
      <c r="C13" s="146">
        <v>42120</v>
      </c>
      <c r="F13" s="139">
        <f t="shared" ref="F13" si="1">SUM(F10:F12)</f>
        <v>242960321777</v>
      </c>
    </row>
    <row r="14" spans="2:6">
      <c r="B14">
        <f t="shared" si="0"/>
        <v>13</v>
      </c>
      <c r="C14" s="146">
        <v>42121</v>
      </c>
    </row>
    <row r="15" spans="2:6">
      <c r="B15">
        <f t="shared" si="0"/>
        <v>14</v>
      </c>
      <c r="C15" s="146">
        <v>42122</v>
      </c>
    </row>
    <row r="16" spans="2:6">
      <c r="B16">
        <f t="shared" si="0"/>
        <v>15</v>
      </c>
      <c r="C16" s="146">
        <v>42123</v>
      </c>
      <c r="F16" s="147">
        <v>242960321777</v>
      </c>
    </row>
    <row r="17" spans="2:6">
      <c r="B17">
        <f t="shared" si="0"/>
        <v>16</v>
      </c>
      <c r="C17" s="146">
        <v>42124</v>
      </c>
    </row>
    <row r="18" spans="2:6">
      <c r="B18">
        <f t="shared" si="0"/>
        <v>17</v>
      </c>
      <c r="C18" s="146">
        <v>42125</v>
      </c>
      <c r="F18">
        <v>17096720927</v>
      </c>
    </row>
    <row r="19" spans="2:6">
      <c r="B19">
        <f t="shared" si="0"/>
        <v>18</v>
      </c>
      <c r="C19" s="146">
        <v>42126</v>
      </c>
    </row>
    <row r="20" spans="2:6" ht="18.75">
      <c r="B20">
        <f t="shared" si="0"/>
        <v>19</v>
      </c>
      <c r="C20" s="146">
        <v>42127</v>
      </c>
      <c r="F20" s="148">
        <v>260057042704</v>
      </c>
    </row>
    <row r="21" spans="2:6">
      <c r="B21">
        <f t="shared" si="0"/>
        <v>20</v>
      </c>
      <c r="C21" s="146">
        <v>42128</v>
      </c>
    </row>
    <row r="22" spans="2:6">
      <c r="B22">
        <f t="shared" si="0"/>
        <v>21</v>
      </c>
      <c r="C22" s="146">
        <v>42129</v>
      </c>
    </row>
    <row r="23" spans="2:6">
      <c r="B23">
        <f t="shared" si="0"/>
        <v>22</v>
      </c>
      <c r="C23" s="146">
        <v>42130</v>
      </c>
      <c r="F23">
        <v>8746115507</v>
      </c>
    </row>
    <row r="24" spans="2:6">
      <c r="B24">
        <f t="shared" si="0"/>
        <v>23</v>
      </c>
      <c r="C24" s="146">
        <v>42131</v>
      </c>
      <c r="F24">
        <v>4230293908</v>
      </c>
    </row>
    <row r="25" spans="2:6">
      <c r="B25">
        <f t="shared" si="0"/>
        <v>24</v>
      </c>
      <c r="C25" s="146">
        <v>42132</v>
      </c>
      <c r="F25">
        <v>4120311512</v>
      </c>
    </row>
    <row r="26" spans="2:6">
      <c r="B26">
        <f t="shared" si="0"/>
        <v>25</v>
      </c>
      <c r="C26" s="146">
        <v>42133</v>
      </c>
    </row>
    <row r="27" spans="2:6">
      <c r="B27">
        <f t="shared" si="0"/>
        <v>26</v>
      </c>
      <c r="C27" s="146">
        <v>42134</v>
      </c>
    </row>
    <row r="28" spans="2:6">
      <c r="B28">
        <f t="shared" si="0"/>
        <v>27</v>
      </c>
      <c r="C28" s="146">
        <v>42135</v>
      </c>
    </row>
    <row r="29" spans="2:6">
      <c r="B29">
        <f t="shared" si="0"/>
        <v>28</v>
      </c>
      <c r="C29" s="146">
        <v>42136</v>
      </c>
    </row>
    <row r="30" spans="2:6">
      <c r="B30">
        <f t="shared" si="0"/>
        <v>29</v>
      </c>
      <c r="C30" s="146">
        <v>42137</v>
      </c>
    </row>
    <row r="31" spans="2:6">
      <c r="B31">
        <f t="shared" si="0"/>
        <v>30</v>
      </c>
      <c r="C31" s="146">
        <v>42138</v>
      </c>
    </row>
    <row r="32" spans="2:6">
      <c r="B32">
        <f t="shared" si="0"/>
        <v>31</v>
      </c>
      <c r="C32" s="146">
        <v>42139</v>
      </c>
    </row>
    <row r="33" spans="2:3">
      <c r="B33">
        <f t="shared" si="0"/>
        <v>32</v>
      </c>
      <c r="C33" s="146">
        <v>42140</v>
      </c>
    </row>
    <row r="34" spans="2:3">
      <c r="B34">
        <f t="shared" si="0"/>
        <v>33</v>
      </c>
      <c r="C34" s="146">
        <v>42141</v>
      </c>
    </row>
    <row r="35" spans="2:3">
      <c r="B35">
        <f t="shared" si="0"/>
        <v>34</v>
      </c>
      <c r="C35" s="146">
        <v>42142</v>
      </c>
    </row>
    <row r="36" spans="2:3">
      <c r="B36">
        <f t="shared" si="0"/>
        <v>35</v>
      </c>
      <c r="C36" s="146">
        <v>42143</v>
      </c>
    </row>
    <row r="37" spans="2:3">
      <c r="B37">
        <f t="shared" si="0"/>
        <v>36</v>
      </c>
      <c r="C37" s="146">
        <v>42144</v>
      </c>
    </row>
    <row r="38" spans="2:3">
      <c r="B38">
        <f t="shared" si="0"/>
        <v>37</v>
      </c>
      <c r="C38" s="146">
        <v>42145</v>
      </c>
    </row>
    <row r="39" spans="2:3">
      <c r="B39">
        <f t="shared" si="0"/>
        <v>38</v>
      </c>
      <c r="C39" s="146">
        <v>42146</v>
      </c>
    </row>
    <row r="40" spans="2:3">
      <c r="B40">
        <f t="shared" si="0"/>
        <v>39</v>
      </c>
      <c r="C40" s="146">
        <v>42147</v>
      </c>
    </row>
    <row r="41" spans="2:3">
      <c r="B41">
        <f t="shared" si="0"/>
        <v>40</v>
      </c>
      <c r="C41" s="146">
        <v>42148</v>
      </c>
    </row>
    <row r="42" spans="2:3">
      <c r="B42">
        <f t="shared" si="0"/>
        <v>41</v>
      </c>
      <c r="C42" s="146">
        <v>42149</v>
      </c>
    </row>
    <row r="43" spans="2:3">
      <c r="B43">
        <f t="shared" si="0"/>
        <v>42</v>
      </c>
      <c r="C43" s="146">
        <v>42150</v>
      </c>
    </row>
    <row r="44" spans="2:3">
      <c r="B44">
        <f t="shared" si="0"/>
        <v>43</v>
      </c>
      <c r="C44" s="146">
        <v>42151</v>
      </c>
    </row>
    <row r="45" spans="2:3">
      <c r="B45">
        <f t="shared" si="0"/>
        <v>44</v>
      </c>
      <c r="C45" s="146">
        <v>42152</v>
      </c>
    </row>
    <row r="46" spans="2:3">
      <c r="B46">
        <f t="shared" si="0"/>
        <v>45</v>
      </c>
      <c r="C46" s="146">
        <v>42153</v>
      </c>
    </row>
    <row r="47" spans="2:3">
      <c r="B47">
        <f t="shared" si="0"/>
        <v>46</v>
      </c>
      <c r="C47" s="146">
        <v>42154</v>
      </c>
    </row>
    <row r="48" spans="2:3">
      <c r="B48">
        <f t="shared" si="0"/>
        <v>47</v>
      </c>
      <c r="C48" s="146">
        <v>42155</v>
      </c>
    </row>
    <row r="49" spans="2:3">
      <c r="B49">
        <f t="shared" si="0"/>
        <v>48</v>
      </c>
      <c r="C49" s="146">
        <v>42156</v>
      </c>
    </row>
    <row r="50" spans="2:3">
      <c r="B50">
        <f t="shared" si="0"/>
        <v>49</v>
      </c>
      <c r="C50" s="146">
        <v>42157</v>
      </c>
    </row>
    <row r="51" spans="2:3">
      <c r="B51">
        <f t="shared" si="0"/>
        <v>50</v>
      </c>
      <c r="C51" s="146">
        <v>42158</v>
      </c>
    </row>
    <row r="52" spans="2:3">
      <c r="B52">
        <f t="shared" si="0"/>
        <v>51</v>
      </c>
      <c r="C52" s="146">
        <v>42159</v>
      </c>
    </row>
    <row r="53" spans="2:3">
      <c r="B53">
        <f t="shared" si="0"/>
        <v>52</v>
      </c>
      <c r="C53" s="146">
        <v>42160</v>
      </c>
    </row>
    <row r="54" spans="2:3">
      <c r="B54">
        <f t="shared" si="0"/>
        <v>53</v>
      </c>
      <c r="C54" s="146">
        <v>42161</v>
      </c>
    </row>
    <row r="55" spans="2:3">
      <c r="B55">
        <f t="shared" si="0"/>
        <v>54</v>
      </c>
      <c r="C55" s="146">
        <v>42162</v>
      </c>
    </row>
    <row r="56" spans="2:3">
      <c r="B56">
        <f t="shared" si="0"/>
        <v>55</v>
      </c>
      <c r="C56" s="146">
        <v>42163</v>
      </c>
    </row>
    <row r="57" spans="2:3">
      <c r="B57">
        <f t="shared" si="0"/>
        <v>56</v>
      </c>
      <c r="C57" s="146">
        <v>42164</v>
      </c>
    </row>
    <row r="58" spans="2:3">
      <c r="B58">
        <f t="shared" si="0"/>
        <v>57</v>
      </c>
      <c r="C58" s="146">
        <v>42165</v>
      </c>
    </row>
    <row r="59" spans="2:3">
      <c r="B59">
        <f t="shared" si="0"/>
        <v>58</v>
      </c>
      <c r="C59" s="146">
        <v>42166</v>
      </c>
    </row>
    <row r="60" spans="2:3">
      <c r="B60">
        <f t="shared" si="0"/>
        <v>59</v>
      </c>
      <c r="C60" s="146">
        <v>42167</v>
      </c>
    </row>
    <row r="61" spans="2:3">
      <c r="B61">
        <f t="shared" si="0"/>
        <v>60</v>
      </c>
      <c r="C61" s="146">
        <v>42168</v>
      </c>
    </row>
    <row r="62" spans="2:3">
      <c r="B62">
        <f t="shared" si="0"/>
        <v>61</v>
      </c>
      <c r="C62" s="146">
        <v>42169</v>
      </c>
    </row>
    <row r="63" spans="2:3">
      <c r="B63">
        <f t="shared" si="0"/>
        <v>62</v>
      </c>
      <c r="C63" s="146">
        <v>42170</v>
      </c>
    </row>
    <row r="64" spans="2:3">
      <c r="B64">
        <f t="shared" si="0"/>
        <v>63</v>
      </c>
      <c r="C64" s="146">
        <v>42171</v>
      </c>
    </row>
    <row r="65" spans="2:3">
      <c r="B65">
        <f t="shared" si="0"/>
        <v>64</v>
      </c>
      <c r="C65" s="146">
        <v>42172</v>
      </c>
    </row>
    <row r="66" spans="2:3">
      <c r="B66">
        <f t="shared" si="0"/>
        <v>65</v>
      </c>
      <c r="C66" s="146">
        <v>42173</v>
      </c>
    </row>
    <row r="67" spans="2:3">
      <c r="B67">
        <f t="shared" si="0"/>
        <v>66</v>
      </c>
      <c r="C67" s="146">
        <v>42174</v>
      </c>
    </row>
    <row r="68" spans="2:3">
      <c r="B68">
        <f t="shared" ref="B68:B131" si="2">B67+1</f>
        <v>67</v>
      </c>
      <c r="C68" s="146">
        <v>42175</v>
      </c>
    </row>
    <row r="69" spans="2:3">
      <c r="B69">
        <f t="shared" si="2"/>
        <v>68</v>
      </c>
      <c r="C69" s="146">
        <v>42176</v>
      </c>
    </row>
    <row r="70" spans="2:3">
      <c r="B70">
        <f t="shared" si="2"/>
        <v>69</v>
      </c>
      <c r="C70" s="146">
        <v>42177</v>
      </c>
    </row>
    <row r="71" spans="2:3">
      <c r="B71">
        <f t="shared" si="2"/>
        <v>70</v>
      </c>
      <c r="C71" s="146">
        <v>42178</v>
      </c>
    </row>
    <row r="72" spans="2:3">
      <c r="B72">
        <f t="shared" si="2"/>
        <v>71</v>
      </c>
      <c r="C72" s="146">
        <v>42179</v>
      </c>
    </row>
    <row r="73" spans="2:3">
      <c r="B73">
        <f t="shared" si="2"/>
        <v>72</v>
      </c>
      <c r="C73" s="146">
        <v>42180</v>
      </c>
    </row>
    <row r="74" spans="2:3">
      <c r="B74">
        <f t="shared" si="2"/>
        <v>73</v>
      </c>
      <c r="C74" s="146">
        <v>42181</v>
      </c>
    </row>
    <row r="75" spans="2:3">
      <c r="B75">
        <f t="shared" si="2"/>
        <v>74</v>
      </c>
      <c r="C75" s="146">
        <v>42182</v>
      </c>
    </row>
    <row r="76" spans="2:3">
      <c r="B76">
        <f t="shared" si="2"/>
        <v>75</v>
      </c>
      <c r="C76" s="146">
        <v>42183</v>
      </c>
    </row>
    <row r="77" spans="2:3">
      <c r="B77">
        <f t="shared" si="2"/>
        <v>76</v>
      </c>
      <c r="C77" s="146">
        <v>42184</v>
      </c>
    </row>
    <row r="78" spans="2:3">
      <c r="B78">
        <f t="shared" si="2"/>
        <v>77</v>
      </c>
      <c r="C78" s="146">
        <v>42185</v>
      </c>
    </row>
    <row r="79" spans="2:3">
      <c r="B79">
        <f t="shared" si="2"/>
        <v>78</v>
      </c>
      <c r="C79" s="146">
        <v>42186</v>
      </c>
    </row>
    <row r="80" spans="2:3">
      <c r="B80">
        <f t="shared" si="2"/>
        <v>79</v>
      </c>
      <c r="C80" s="146">
        <v>42187</v>
      </c>
    </row>
    <row r="81" spans="2:3">
      <c r="B81">
        <f t="shared" si="2"/>
        <v>80</v>
      </c>
      <c r="C81" s="146">
        <v>42188</v>
      </c>
    </row>
    <row r="82" spans="2:3">
      <c r="B82">
        <f t="shared" si="2"/>
        <v>81</v>
      </c>
      <c r="C82" s="146">
        <v>42189</v>
      </c>
    </row>
    <row r="83" spans="2:3">
      <c r="B83">
        <f t="shared" si="2"/>
        <v>82</v>
      </c>
      <c r="C83" s="146">
        <v>42190</v>
      </c>
    </row>
    <row r="84" spans="2:3">
      <c r="B84">
        <f t="shared" si="2"/>
        <v>83</v>
      </c>
      <c r="C84" s="146">
        <v>42191</v>
      </c>
    </row>
    <row r="85" spans="2:3">
      <c r="B85">
        <f t="shared" si="2"/>
        <v>84</v>
      </c>
      <c r="C85" s="146">
        <v>42192</v>
      </c>
    </row>
    <row r="86" spans="2:3">
      <c r="B86">
        <f t="shared" si="2"/>
        <v>85</v>
      </c>
      <c r="C86" s="146">
        <v>42193</v>
      </c>
    </row>
    <row r="87" spans="2:3">
      <c r="B87">
        <f t="shared" si="2"/>
        <v>86</v>
      </c>
      <c r="C87" s="146">
        <v>42194</v>
      </c>
    </row>
    <row r="88" spans="2:3">
      <c r="B88">
        <f t="shared" si="2"/>
        <v>87</v>
      </c>
      <c r="C88" s="146">
        <v>42195</v>
      </c>
    </row>
    <row r="89" spans="2:3">
      <c r="B89">
        <f t="shared" si="2"/>
        <v>88</v>
      </c>
      <c r="C89" s="146">
        <v>42196</v>
      </c>
    </row>
    <row r="90" spans="2:3">
      <c r="B90">
        <f t="shared" si="2"/>
        <v>89</v>
      </c>
      <c r="C90" s="146">
        <v>42197</v>
      </c>
    </row>
    <row r="91" spans="2:3">
      <c r="B91">
        <f t="shared" si="2"/>
        <v>90</v>
      </c>
      <c r="C91" s="146">
        <v>42198</v>
      </c>
    </row>
    <row r="92" spans="2:3">
      <c r="B92">
        <f t="shared" si="2"/>
        <v>91</v>
      </c>
      <c r="C92" s="146">
        <v>42199</v>
      </c>
    </row>
    <row r="93" spans="2:3">
      <c r="B93">
        <f t="shared" si="2"/>
        <v>92</v>
      </c>
      <c r="C93" s="146">
        <v>42200</v>
      </c>
    </row>
    <row r="94" spans="2:3">
      <c r="B94">
        <f t="shared" si="2"/>
        <v>93</v>
      </c>
      <c r="C94" s="146">
        <v>42201</v>
      </c>
    </row>
    <row r="95" spans="2:3">
      <c r="B95">
        <f t="shared" si="2"/>
        <v>94</v>
      </c>
      <c r="C95" s="146">
        <v>42202</v>
      </c>
    </row>
    <row r="96" spans="2:3">
      <c r="B96">
        <f t="shared" si="2"/>
        <v>95</v>
      </c>
      <c r="C96" s="146">
        <v>42203</v>
      </c>
    </row>
    <row r="97" spans="2:3">
      <c r="B97">
        <f t="shared" si="2"/>
        <v>96</v>
      </c>
      <c r="C97" s="146">
        <v>42204</v>
      </c>
    </row>
    <row r="98" spans="2:3">
      <c r="B98">
        <f t="shared" si="2"/>
        <v>97</v>
      </c>
      <c r="C98" s="146">
        <v>42205</v>
      </c>
    </row>
    <row r="99" spans="2:3">
      <c r="B99">
        <f t="shared" si="2"/>
        <v>98</v>
      </c>
      <c r="C99" s="146">
        <v>42206</v>
      </c>
    </row>
    <row r="100" spans="2:3">
      <c r="B100">
        <f t="shared" si="2"/>
        <v>99</v>
      </c>
      <c r="C100" s="146">
        <v>42207</v>
      </c>
    </row>
    <row r="101" spans="2:3">
      <c r="B101">
        <f t="shared" si="2"/>
        <v>100</v>
      </c>
      <c r="C101" s="146">
        <v>42208</v>
      </c>
    </row>
    <row r="102" spans="2:3">
      <c r="B102">
        <f t="shared" si="2"/>
        <v>101</v>
      </c>
      <c r="C102" s="146">
        <v>42209</v>
      </c>
    </row>
    <row r="103" spans="2:3">
      <c r="B103">
        <f t="shared" si="2"/>
        <v>102</v>
      </c>
      <c r="C103" s="146">
        <v>42210</v>
      </c>
    </row>
    <row r="104" spans="2:3">
      <c r="B104">
        <f t="shared" si="2"/>
        <v>103</v>
      </c>
      <c r="C104" s="146">
        <v>42211</v>
      </c>
    </row>
    <row r="105" spans="2:3">
      <c r="B105">
        <f t="shared" si="2"/>
        <v>104</v>
      </c>
      <c r="C105" s="146">
        <v>42212</v>
      </c>
    </row>
    <row r="106" spans="2:3">
      <c r="B106">
        <f t="shared" si="2"/>
        <v>105</v>
      </c>
      <c r="C106" s="146">
        <v>42213</v>
      </c>
    </row>
    <row r="107" spans="2:3">
      <c r="B107">
        <f t="shared" si="2"/>
        <v>106</v>
      </c>
      <c r="C107" s="146">
        <v>42214</v>
      </c>
    </row>
    <row r="108" spans="2:3">
      <c r="B108">
        <f t="shared" si="2"/>
        <v>107</v>
      </c>
      <c r="C108" s="146">
        <v>42215</v>
      </c>
    </row>
    <row r="109" spans="2:3">
      <c r="B109">
        <f t="shared" si="2"/>
        <v>108</v>
      </c>
      <c r="C109" s="146">
        <v>42216</v>
      </c>
    </row>
    <row r="110" spans="2:3">
      <c r="B110">
        <f t="shared" si="2"/>
        <v>109</v>
      </c>
      <c r="C110" s="146">
        <v>42217</v>
      </c>
    </row>
    <row r="111" spans="2:3">
      <c r="B111">
        <f t="shared" si="2"/>
        <v>110</v>
      </c>
      <c r="C111" s="146">
        <v>42218</v>
      </c>
    </row>
    <row r="112" spans="2:3">
      <c r="B112">
        <f t="shared" si="2"/>
        <v>111</v>
      </c>
      <c r="C112" s="146">
        <v>42219</v>
      </c>
    </row>
    <row r="113" spans="2:3">
      <c r="B113">
        <f t="shared" si="2"/>
        <v>112</v>
      </c>
      <c r="C113" s="146">
        <v>42220</v>
      </c>
    </row>
    <row r="114" spans="2:3">
      <c r="B114">
        <f t="shared" si="2"/>
        <v>113</v>
      </c>
      <c r="C114" s="146">
        <v>42221</v>
      </c>
    </row>
    <row r="115" spans="2:3">
      <c r="B115">
        <f t="shared" si="2"/>
        <v>114</v>
      </c>
      <c r="C115" s="146">
        <v>42222</v>
      </c>
    </row>
    <row r="116" spans="2:3">
      <c r="B116">
        <f t="shared" si="2"/>
        <v>115</v>
      </c>
      <c r="C116" s="146">
        <v>42223</v>
      </c>
    </row>
    <row r="117" spans="2:3">
      <c r="B117">
        <f t="shared" si="2"/>
        <v>116</v>
      </c>
      <c r="C117" s="146">
        <v>42224</v>
      </c>
    </row>
    <row r="118" spans="2:3">
      <c r="B118">
        <f t="shared" si="2"/>
        <v>117</v>
      </c>
      <c r="C118" s="146">
        <v>42225</v>
      </c>
    </row>
    <row r="119" spans="2:3">
      <c r="B119">
        <f t="shared" si="2"/>
        <v>118</v>
      </c>
      <c r="C119" s="146">
        <v>42226</v>
      </c>
    </row>
    <row r="120" spans="2:3">
      <c r="B120">
        <f t="shared" si="2"/>
        <v>119</v>
      </c>
      <c r="C120" s="146">
        <v>42227</v>
      </c>
    </row>
    <row r="121" spans="2:3">
      <c r="B121">
        <f t="shared" si="2"/>
        <v>120</v>
      </c>
      <c r="C121" s="146">
        <v>42228</v>
      </c>
    </row>
    <row r="122" spans="2:3">
      <c r="B122">
        <f t="shared" si="2"/>
        <v>121</v>
      </c>
      <c r="C122" s="146">
        <v>42229</v>
      </c>
    </row>
    <row r="123" spans="2:3">
      <c r="B123">
        <f t="shared" si="2"/>
        <v>122</v>
      </c>
      <c r="C123" s="146">
        <v>42230</v>
      </c>
    </row>
    <row r="124" spans="2:3">
      <c r="B124">
        <f t="shared" si="2"/>
        <v>123</v>
      </c>
      <c r="C124" s="146">
        <v>42231</v>
      </c>
    </row>
    <row r="125" spans="2:3">
      <c r="B125">
        <f t="shared" si="2"/>
        <v>124</v>
      </c>
      <c r="C125" s="146">
        <v>42232</v>
      </c>
    </row>
    <row r="126" spans="2:3">
      <c r="B126">
        <f t="shared" si="2"/>
        <v>125</v>
      </c>
      <c r="C126" s="146">
        <v>42233</v>
      </c>
    </row>
    <row r="127" spans="2:3">
      <c r="B127">
        <f t="shared" si="2"/>
        <v>126</v>
      </c>
      <c r="C127" s="146">
        <v>42234</v>
      </c>
    </row>
    <row r="128" spans="2:3">
      <c r="B128">
        <f t="shared" si="2"/>
        <v>127</v>
      </c>
      <c r="C128" s="146">
        <v>42235</v>
      </c>
    </row>
    <row r="129" spans="2:3">
      <c r="B129">
        <f t="shared" si="2"/>
        <v>128</v>
      </c>
      <c r="C129" s="146">
        <v>42236</v>
      </c>
    </row>
    <row r="130" spans="2:3">
      <c r="B130">
        <f t="shared" si="2"/>
        <v>129</v>
      </c>
      <c r="C130" s="146">
        <v>42237</v>
      </c>
    </row>
    <row r="131" spans="2:3">
      <c r="B131">
        <f t="shared" si="2"/>
        <v>130</v>
      </c>
      <c r="C131" s="146">
        <v>42238</v>
      </c>
    </row>
    <row r="132" spans="2:3">
      <c r="B132">
        <f t="shared" ref="B132:B195" si="3">B131+1</f>
        <v>131</v>
      </c>
      <c r="C132" s="146">
        <v>42239</v>
      </c>
    </row>
    <row r="133" spans="2:3">
      <c r="B133">
        <f t="shared" si="3"/>
        <v>132</v>
      </c>
      <c r="C133" s="146">
        <v>42240</v>
      </c>
    </row>
    <row r="134" spans="2:3">
      <c r="B134">
        <f t="shared" si="3"/>
        <v>133</v>
      </c>
      <c r="C134" s="146">
        <v>42241</v>
      </c>
    </row>
    <row r="135" spans="2:3">
      <c r="B135">
        <f t="shared" si="3"/>
        <v>134</v>
      </c>
      <c r="C135" s="146">
        <v>42242</v>
      </c>
    </row>
    <row r="136" spans="2:3">
      <c r="B136">
        <f t="shared" si="3"/>
        <v>135</v>
      </c>
      <c r="C136" s="146">
        <v>42243</v>
      </c>
    </row>
    <row r="137" spans="2:3">
      <c r="B137">
        <f t="shared" si="3"/>
        <v>136</v>
      </c>
      <c r="C137" s="146">
        <v>42244</v>
      </c>
    </row>
    <row r="138" spans="2:3">
      <c r="B138">
        <f t="shared" si="3"/>
        <v>137</v>
      </c>
      <c r="C138" s="146">
        <v>42245</v>
      </c>
    </row>
    <row r="139" spans="2:3">
      <c r="B139">
        <f t="shared" si="3"/>
        <v>138</v>
      </c>
      <c r="C139" s="146">
        <v>42246</v>
      </c>
    </row>
    <row r="140" spans="2:3">
      <c r="B140">
        <f t="shared" si="3"/>
        <v>139</v>
      </c>
      <c r="C140" s="146">
        <v>42247</v>
      </c>
    </row>
    <row r="141" spans="2:3">
      <c r="B141">
        <f t="shared" si="3"/>
        <v>140</v>
      </c>
      <c r="C141" s="146">
        <v>42248</v>
      </c>
    </row>
    <row r="142" spans="2:3">
      <c r="B142">
        <f t="shared" si="3"/>
        <v>141</v>
      </c>
      <c r="C142" s="146">
        <v>42249</v>
      </c>
    </row>
    <row r="143" spans="2:3">
      <c r="B143">
        <f t="shared" si="3"/>
        <v>142</v>
      </c>
      <c r="C143" s="146">
        <v>42250</v>
      </c>
    </row>
    <row r="144" spans="2:3">
      <c r="B144">
        <f t="shared" si="3"/>
        <v>143</v>
      </c>
      <c r="C144" s="146">
        <v>42251</v>
      </c>
    </row>
    <row r="145" spans="2:3">
      <c r="B145">
        <f t="shared" si="3"/>
        <v>144</v>
      </c>
      <c r="C145" s="146">
        <v>42252</v>
      </c>
    </row>
    <row r="146" spans="2:3">
      <c r="B146">
        <f t="shared" si="3"/>
        <v>145</v>
      </c>
      <c r="C146" s="146">
        <v>42253</v>
      </c>
    </row>
    <row r="147" spans="2:3">
      <c r="B147">
        <f t="shared" si="3"/>
        <v>146</v>
      </c>
      <c r="C147" s="146">
        <v>42254</v>
      </c>
    </row>
    <row r="148" spans="2:3">
      <c r="B148">
        <f t="shared" si="3"/>
        <v>147</v>
      </c>
      <c r="C148" s="146">
        <v>42255</v>
      </c>
    </row>
    <row r="149" spans="2:3">
      <c r="B149">
        <f t="shared" si="3"/>
        <v>148</v>
      </c>
      <c r="C149" s="146">
        <v>42256</v>
      </c>
    </row>
    <row r="150" spans="2:3">
      <c r="B150">
        <f t="shared" si="3"/>
        <v>149</v>
      </c>
      <c r="C150" s="146">
        <v>42257</v>
      </c>
    </row>
    <row r="151" spans="2:3">
      <c r="B151">
        <f t="shared" si="3"/>
        <v>150</v>
      </c>
      <c r="C151" s="146">
        <v>42258</v>
      </c>
    </row>
    <row r="152" spans="2:3">
      <c r="B152">
        <f t="shared" si="3"/>
        <v>151</v>
      </c>
      <c r="C152" s="146">
        <v>42259</v>
      </c>
    </row>
    <row r="153" spans="2:3">
      <c r="B153">
        <f t="shared" si="3"/>
        <v>152</v>
      </c>
      <c r="C153" s="146">
        <v>42260</v>
      </c>
    </row>
    <row r="154" spans="2:3">
      <c r="B154">
        <f t="shared" si="3"/>
        <v>153</v>
      </c>
      <c r="C154" s="146">
        <v>42261</v>
      </c>
    </row>
    <row r="155" spans="2:3">
      <c r="B155">
        <f t="shared" si="3"/>
        <v>154</v>
      </c>
      <c r="C155" s="146">
        <v>42262</v>
      </c>
    </row>
    <row r="156" spans="2:3">
      <c r="B156">
        <f t="shared" si="3"/>
        <v>155</v>
      </c>
      <c r="C156" s="146">
        <v>42263</v>
      </c>
    </row>
    <row r="157" spans="2:3">
      <c r="B157">
        <f t="shared" si="3"/>
        <v>156</v>
      </c>
      <c r="C157" s="146">
        <v>42264</v>
      </c>
    </row>
    <row r="158" spans="2:3">
      <c r="B158">
        <f t="shared" si="3"/>
        <v>157</v>
      </c>
      <c r="C158" s="146">
        <v>42265</v>
      </c>
    </row>
    <row r="159" spans="2:3">
      <c r="B159">
        <f t="shared" si="3"/>
        <v>158</v>
      </c>
      <c r="C159" s="146">
        <v>42266</v>
      </c>
    </row>
    <row r="160" spans="2:3">
      <c r="B160">
        <f t="shared" si="3"/>
        <v>159</v>
      </c>
      <c r="C160" s="146">
        <v>42267</v>
      </c>
    </row>
    <row r="161" spans="2:3">
      <c r="B161">
        <f t="shared" si="3"/>
        <v>160</v>
      </c>
      <c r="C161" s="146">
        <v>42268</v>
      </c>
    </row>
    <row r="162" spans="2:3">
      <c r="B162">
        <f t="shared" si="3"/>
        <v>161</v>
      </c>
      <c r="C162" s="146">
        <v>42269</v>
      </c>
    </row>
    <row r="163" spans="2:3">
      <c r="B163">
        <f t="shared" si="3"/>
        <v>162</v>
      </c>
      <c r="C163" s="146">
        <v>42270</v>
      </c>
    </row>
    <row r="164" spans="2:3">
      <c r="B164">
        <f t="shared" si="3"/>
        <v>163</v>
      </c>
      <c r="C164" s="146">
        <v>42271</v>
      </c>
    </row>
    <row r="165" spans="2:3">
      <c r="B165">
        <f t="shared" si="3"/>
        <v>164</v>
      </c>
      <c r="C165" s="146">
        <v>42272</v>
      </c>
    </row>
    <row r="166" spans="2:3">
      <c r="B166">
        <f t="shared" si="3"/>
        <v>165</v>
      </c>
      <c r="C166" s="146">
        <v>42273</v>
      </c>
    </row>
    <row r="167" spans="2:3">
      <c r="B167">
        <f t="shared" si="3"/>
        <v>166</v>
      </c>
      <c r="C167" s="146">
        <v>42274</v>
      </c>
    </row>
    <row r="168" spans="2:3">
      <c r="B168">
        <f t="shared" si="3"/>
        <v>167</v>
      </c>
      <c r="C168" s="146">
        <v>42275</v>
      </c>
    </row>
    <row r="169" spans="2:3">
      <c r="B169">
        <f t="shared" si="3"/>
        <v>168</v>
      </c>
      <c r="C169" s="146">
        <v>42276</v>
      </c>
    </row>
    <row r="170" spans="2:3">
      <c r="B170">
        <f t="shared" si="3"/>
        <v>169</v>
      </c>
      <c r="C170" s="146">
        <v>42277</v>
      </c>
    </row>
    <row r="171" spans="2:3">
      <c r="B171">
        <f t="shared" si="3"/>
        <v>170</v>
      </c>
      <c r="C171" s="146">
        <v>42278</v>
      </c>
    </row>
    <row r="172" spans="2:3">
      <c r="B172">
        <f t="shared" si="3"/>
        <v>171</v>
      </c>
      <c r="C172" s="146">
        <v>42279</v>
      </c>
    </row>
    <row r="173" spans="2:3">
      <c r="B173">
        <f t="shared" si="3"/>
        <v>172</v>
      </c>
      <c r="C173" s="146">
        <v>42280</v>
      </c>
    </row>
    <row r="174" spans="2:3">
      <c r="B174">
        <f t="shared" si="3"/>
        <v>173</v>
      </c>
      <c r="C174" s="146">
        <v>42281</v>
      </c>
    </row>
    <row r="175" spans="2:3">
      <c r="B175">
        <f t="shared" si="3"/>
        <v>174</v>
      </c>
      <c r="C175" s="146">
        <v>42282</v>
      </c>
    </row>
    <row r="176" spans="2:3">
      <c r="B176">
        <f t="shared" si="3"/>
        <v>175</v>
      </c>
      <c r="C176" s="146">
        <v>42283</v>
      </c>
    </row>
    <row r="177" spans="2:3">
      <c r="B177">
        <f t="shared" si="3"/>
        <v>176</v>
      </c>
      <c r="C177" s="146">
        <v>42284</v>
      </c>
    </row>
    <row r="178" spans="2:3">
      <c r="B178">
        <f t="shared" si="3"/>
        <v>177</v>
      </c>
      <c r="C178" s="146">
        <v>42285</v>
      </c>
    </row>
    <row r="179" spans="2:3">
      <c r="B179">
        <f t="shared" si="3"/>
        <v>178</v>
      </c>
      <c r="C179" s="146">
        <v>42286</v>
      </c>
    </row>
    <row r="180" spans="2:3">
      <c r="B180">
        <f t="shared" si="3"/>
        <v>179</v>
      </c>
      <c r="C180" s="146">
        <v>42287</v>
      </c>
    </row>
    <row r="181" spans="2:3">
      <c r="B181">
        <f t="shared" si="3"/>
        <v>180</v>
      </c>
      <c r="C181" s="146">
        <v>42288</v>
      </c>
    </row>
    <row r="182" spans="2:3">
      <c r="B182">
        <f t="shared" si="3"/>
        <v>181</v>
      </c>
      <c r="C182" s="146">
        <v>42289</v>
      </c>
    </row>
    <row r="183" spans="2:3">
      <c r="B183">
        <f t="shared" si="3"/>
        <v>182</v>
      </c>
      <c r="C183" s="146">
        <v>42290</v>
      </c>
    </row>
    <row r="184" spans="2:3">
      <c r="B184">
        <f t="shared" si="3"/>
        <v>183</v>
      </c>
      <c r="C184" s="146">
        <v>42291</v>
      </c>
    </row>
    <row r="185" spans="2:3">
      <c r="B185">
        <f t="shared" si="3"/>
        <v>184</v>
      </c>
      <c r="C185" s="146">
        <v>42292</v>
      </c>
    </row>
    <row r="186" spans="2:3">
      <c r="B186">
        <f t="shared" si="3"/>
        <v>185</v>
      </c>
      <c r="C186" s="146">
        <v>42293</v>
      </c>
    </row>
    <row r="187" spans="2:3">
      <c r="B187">
        <f t="shared" si="3"/>
        <v>186</v>
      </c>
      <c r="C187" s="146">
        <v>42294</v>
      </c>
    </row>
    <row r="188" spans="2:3">
      <c r="B188">
        <f t="shared" si="3"/>
        <v>187</v>
      </c>
      <c r="C188" s="146">
        <v>42295</v>
      </c>
    </row>
    <row r="189" spans="2:3">
      <c r="B189">
        <f t="shared" si="3"/>
        <v>188</v>
      </c>
      <c r="C189" s="146">
        <v>42296</v>
      </c>
    </row>
    <row r="190" spans="2:3">
      <c r="B190">
        <f t="shared" si="3"/>
        <v>189</v>
      </c>
      <c r="C190" s="146">
        <v>42297</v>
      </c>
    </row>
    <row r="191" spans="2:3">
      <c r="B191">
        <f t="shared" si="3"/>
        <v>190</v>
      </c>
      <c r="C191" s="146">
        <v>42298</v>
      </c>
    </row>
    <row r="192" spans="2:3">
      <c r="B192">
        <f t="shared" si="3"/>
        <v>191</v>
      </c>
      <c r="C192" s="146">
        <v>42299</v>
      </c>
    </row>
    <row r="193" spans="2:3">
      <c r="B193">
        <f t="shared" si="3"/>
        <v>192</v>
      </c>
      <c r="C193" s="146">
        <v>42300</v>
      </c>
    </row>
    <row r="194" spans="2:3">
      <c r="B194">
        <f t="shared" si="3"/>
        <v>193</v>
      </c>
      <c r="C194" s="146">
        <v>42301</v>
      </c>
    </row>
    <row r="195" spans="2:3">
      <c r="B195">
        <f t="shared" si="3"/>
        <v>194</v>
      </c>
      <c r="C195" s="146">
        <v>42302</v>
      </c>
    </row>
    <row r="196" spans="2:3">
      <c r="B196">
        <f t="shared" ref="B196:B259" si="4">B195+1</f>
        <v>195</v>
      </c>
      <c r="C196" s="146">
        <v>42303</v>
      </c>
    </row>
    <row r="197" spans="2:3">
      <c r="B197">
        <f t="shared" si="4"/>
        <v>196</v>
      </c>
      <c r="C197" s="146">
        <v>42304</v>
      </c>
    </row>
    <row r="198" spans="2:3">
      <c r="B198">
        <f t="shared" si="4"/>
        <v>197</v>
      </c>
      <c r="C198" s="146">
        <v>42305</v>
      </c>
    </row>
    <row r="199" spans="2:3">
      <c r="B199">
        <f t="shared" si="4"/>
        <v>198</v>
      </c>
      <c r="C199" s="146">
        <v>42306</v>
      </c>
    </row>
    <row r="200" spans="2:3">
      <c r="B200">
        <f t="shared" si="4"/>
        <v>199</v>
      </c>
      <c r="C200" s="146">
        <v>42307</v>
      </c>
    </row>
    <row r="201" spans="2:3">
      <c r="B201">
        <f t="shared" si="4"/>
        <v>200</v>
      </c>
      <c r="C201" s="146">
        <v>42308</v>
      </c>
    </row>
    <row r="202" spans="2:3">
      <c r="B202">
        <f t="shared" si="4"/>
        <v>201</v>
      </c>
      <c r="C202" s="146">
        <v>42309</v>
      </c>
    </row>
    <row r="203" spans="2:3">
      <c r="B203">
        <f t="shared" si="4"/>
        <v>202</v>
      </c>
      <c r="C203" s="146">
        <v>42310</v>
      </c>
    </row>
    <row r="204" spans="2:3">
      <c r="B204">
        <f t="shared" si="4"/>
        <v>203</v>
      </c>
      <c r="C204" s="146">
        <v>42311</v>
      </c>
    </row>
    <row r="205" spans="2:3">
      <c r="B205">
        <f t="shared" si="4"/>
        <v>204</v>
      </c>
      <c r="C205" s="146">
        <v>42312</v>
      </c>
    </row>
    <row r="206" spans="2:3">
      <c r="B206">
        <f t="shared" si="4"/>
        <v>205</v>
      </c>
      <c r="C206" s="146">
        <v>42313</v>
      </c>
    </row>
    <row r="207" spans="2:3">
      <c r="B207">
        <f t="shared" si="4"/>
        <v>206</v>
      </c>
      <c r="C207" s="146">
        <v>42314</v>
      </c>
    </row>
    <row r="208" spans="2:3">
      <c r="B208">
        <f t="shared" si="4"/>
        <v>207</v>
      </c>
      <c r="C208" s="146">
        <v>42315</v>
      </c>
    </row>
    <row r="209" spans="2:3">
      <c r="B209">
        <f t="shared" si="4"/>
        <v>208</v>
      </c>
      <c r="C209" s="146">
        <v>42316</v>
      </c>
    </row>
    <row r="210" spans="2:3">
      <c r="B210">
        <f t="shared" si="4"/>
        <v>209</v>
      </c>
      <c r="C210" s="146">
        <v>42317</v>
      </c>
    </row>
    <row r="211" spans="2:3">
      <c r="B211">
        <f t="shared" si="4"/>
        <v>210</v>
      </c>
      <c r="C211" s="146">
        <v>42318</v>
      </c>
    </row>
    <row r="212" spans="2:3">
      <c r="B212">
        <f t="shared" si="4"/>
        <v>211</v>
      </c>
      <c r="C212" s="146">
        <v>42319</v>
      </c>
    </row>
    <row r="213" spans="2:3">
      <c r="B213">
        <f t="shared" si="4"/>
        <v>212</v>
      </c>
      <c r="C213" s="146">
        <v>42320</v>
      </c>
    </row>
    <row r="214" spans="2:3">
      <c r="B214">
        <f t="shared" si="4"/>
        <v>213</v>
      </c>
      <c r="C214" s="146">
        <v>42321</v>
      </c>
    </row>
    <row r="215" spans="2:3">
      <c r="B215">
        <f t="shared" si="4"/>
        <v>214</v>
      </c>
      <c r="C215" s="146">
        <v>42322</v>
      </c>
    </row>
    <row r="216" spans="2:3">
      <c r="B216">
        <f t="shared" si="4"/>
        <v>215</v>
      </c>
      <c r="C216" s="146">
        <v>42323</v>
      </c>
    </row>
    <row r="217" spans="2:3">
      <c r="B217">
        <f t="shared" si="4"/>
        <v>216</v>
      </c>
      <c r="C217" s="146">
        <v>42324</v>
      </c>
    </row>
    <row r="218" spans="2:3">
      <c r="B218">
        <f t="shared" si="4"/>
        <v>217</v>
      </c>
      <c r="C218" s="146">
        <v>42325</v>
      </c>
    </row>
    <row r="219" spans="2:3">
      <c r="B219">
        <f t="shared" si="4"/>
        <v>218</v>
      </c>
      <c r="C219" s="146">
        <v>42326</v>
      </c>
    </row>
    <row r="220" spans="2:3">
      <c r="B220">
        <f t="shared" si="4"/>
        <v>219</v>
      </c>
      <c r="C220" s="146">
        <v>42327</v>
      </c>
    </row>
    <row r="221" spans="2:3">
      <c r="B221">
        <f t="shared" si="4"/>
        <v>220</v>
      </c>
      <c r="C221" s="146">
        <v>42328</v>
      </c>
    </row>
    <row r="222" spans="2:3">
      <c r="B222">
        <f t="shared" si="4"/>
        <v>221</v>
      </c>
      <c r="C222" s="146">
        <v>42329</v>
      </c>
    </row>
    <row r="223" spans="2:3">
      <c r="B223">
        <f t="shared" si="4"/>
        <v>222</v>
      </c>
      <c r="C223" s="146">
        <v>42330</v>
      </c>
    </row>
    <row r="224" spans="2:3">
      <c r="B224">
        <f t="shared" si="4"/>
        <v>223</v>
      </c>
      <c r="C224" s="146">
        <v>42331</v>
      </c>
    </row>
    <row r="225" spans="2:6">
      <c r="B225">
        <f t="shared" si="4"/>
        <v>224</v>
      </c>
      <c r="C225" s="146">
        <v>42332</v>
      </c>
    </row>
    <row r="226" spans="2:6">
      <c r="B226">
        <f t="shared" si="4"/>
        <v>225</v>
      </c>
      <c r="C226" s="146">
        <v>42333</v>
      </c>
    </row>
    <row r="227" spans="2:6">
      <c r="B227">
        <f t="shared" si="4"/>
        <v>226</v>
      </c>
      <c r="C227" s="146">
        <v>42334</v>
      </c>
    </row>
    <row r="228" spans="2:6">
      <c r="B228">
        <f t="shared" si="4"/>
        <v>227</v>
      </c>
      <c r="C228" s="146">
        <v>42335</v>
      </c>
    </row>
    <row r="229" spans="2:6">
      <c r="B229">
        <f t="shared" si="4"/>
        <v>228</v>
      </c>
      <c r="C229" s="146">
        <v>42336</v>
      </c>
    </row>
    <row r="230" spans="2:6">
      <c r="B230">
        <f t="shared" si="4"/>
        <v>229</v>
      </c>
      <c r="C230" s="146">
        <v>42337</v>
      </c>
    </row>
    <row r="231" spans="2:6">
      <c r="B231">
        <f t="shared" si="4"/>
        <v>230</v>
      </c>
      <c r="C231" s="146">
        <v>42338</v>
      </c>
    </row>
    <row r="232" spans="2:6">
      <c r="B232">
        <f t="shared" si="4"/>
        <v>231</v>
      </c>
      <c r="C232" s="146">
        <v>42339</v>
      </c>
    </row>
    <row r="233" spans="2:6">
      <c r="B233">
        <f t="shared" si="4"/>
        <v>232</v>
      </c>
      <c r="C233" s="146">
        <v>42340</v>
      </c>
    </row>
    <row r="234" spans="2:6">
      <c r="B234">
        <f t="shared" si="4"/>
        <v>233</v>
      </c>
      <c r="C234" s="146">
        <v>42341</v>
      </c>
      <c r="F234">
        <f>350*0.15*1</f>
        <v>52.5</v>
      </c>
    </row>
    <row r="235" spans="2:6">
      <c r="B235">
        <f t="shared" si="4"/>
        <v>234</v>
      </c>
      <c r="C235" s="146">
        <v>42342</v>
      </c>
    </row>
    <row r="236" spans="2:6">
      <c r="B236">
        <f t="shared" si="4"/>
        <v>235</v>
      </c>
      <c r="C236" s="146">
        <v>42343</v>
      </c>
    </row>
    <row r="237" spans="2:6">
      <c r="B237">
        <f t="shared" si="4"/>
        <v>236</v>
      </c>
      <c r="C237" s="146">
        <v>42344</v>
      </c>
    </row>
    <row r="238" spans="2:6">
      <c r="B238">
        <f t="shared" si="4"/>
        <v>237</v>
      </c>
      <c r="C238" s="146">
        <v>42345</v>
      </c>
    </row>
    <row r="239" spans="2:6">
      <c r="B239">
        <f t="shared" si="4"/>
        <v>238</v>
      </c>
      <c r="C239" s="146">
        <v>42346</v>
      </c>
    </row>
    <row r="240" spans="2:6">
      <c r="B240">
        <f t="shared" si="4"/>
        <v>239</v>
      </c>
      <c r="C240" s="146">
        <v>42347</v>
      </c>
    </row>
    <row r="241" spans="2:3">
      <c r="B241">
        <f t="shared" si="4"/>
        <v>240</v>
      </c>
      <c r="C241" s="146">
        <v>42348</v>
      </c>
    </row>
    <row r="242" spans="2:3">
      <c r="B242">
        <f t="shared" si="4"/>
        <v>241</v>
      </c>
    </row>
    <row r="243" spans="2:3">
      <c r="B243">
        <f t="shared" si="4"/>
        <v>242</v>
      </c>
    </row>
    <row r="244" spans="2:3">
      <c r="B244">
        <f t="shared" si="4"/>
        <v>243</v>
      </c>
    </row>
    <row r="245" spans="2:3">
      <c r="B245">
        <f t="shared" si="4"/>
        <v>244</v>
      </c>
    </row>
    <row r="246" spans="2:3">
      <c r="B246">
        <f t="shared" si="4"/>
        <v>245</v>
      </c>
    </row>
    <row r="247" spans="2:3">
      <c r="B247">
        <f t="shared" si="4"/>
        <v>246</v>
      </c>
    </row>
    <row r="248" spans="2:3">
      <c r="B248">
        <f t="shared" si="4"/>
        <v>247</v>
      </c>
    </row>
    <row r="249" spans="2:3">
      <c r="B249">
        <f t="shared" si="4"/>
        <v>248</v>
      </c>
    </row>
    <row r="250" spans="2:3">
      <c r="B250">
        <f t="shared" si="4"/>
        <v>249</v>
      </c>
    </row>
    <row r="251" spans="2:3">
      <c r="B251">
        <f t="shared" si="4"/>
        <v>250</v>
      </c>
    </row>
    <row r="252" spans="2:3">
      <c r="B252">
        <f t="shared" si="4"/>
        <v>251</v>
      </c>
    </row>
    <row r="253" spans="2:3">
      <c r="B253">
        <f t="shared" si="4"/>
        <v>252</v>
      </c>
    </row>
    <row r="254" spans="2:3">
      <c r="B254">
        <f t="shared" si="4"/>
        <v>253</v>
      </c>
    </row>
    <row r="255" spans="2:3">
      <c r="B255">
        <f t="shared" si="4"/>
        <v>254</v>
      </c>
    </row>
    <row r="256" spans="2:3">
      <c r="B256">
        <f t="shared" si="4"/>
        <v>255</v>
      </c>
    </row>
    <row r="257" spans="2:2">
      <c r="B257">
        <f t="shared" si="4"/>
        <v>256</v>
      </c>
    </row>
    <row r="258" spans="2:2">
      <c r="B258">
        <f t="shared" si="4"/>
        <v>257</v>
      </c>
    </row>
    <row r="259" spans="2:2">
      <c r="B259">
        <f t="shared" si="4"/>
        <v>258</v>
      </c>
    </row>
    <row r="260" spans="2:2">
      <c r="B260">
        <f t="shared" ref="B260:B323" si="5">B259+1</f>
        <v>259</v>
      </c>
    </row>
    <row r="261" spans="2:2">
      <c r="B261">
        <f t="shared" si="5"/>
        <v>260</v>
      </c>
    </row>
    <row r="262" spans="2:2">
      <c r="B262">
        <f t="shared" si="5"/>
        <v>261</v>
      </c>
    </row>
    <row r="263" spans="2:2">
      <c r="B263">
        <f t="shared" si="5"/>
        <v>262</v>
      </c>
    </row>
    <row r="264" spans="2:2">
      <c r="B264">
        <f t="shared" si="5"/>
        <v>263</v>
      </c>
    </row>
    <row r="265" spans="2:2">
      <c r="B265">
        <f t="shared" si="5"/>
        <v>264</v>
      </c>
    </row>
    <row r="266" spans="2:2">
      <c r="B266">
        <f t="shared" si="5"/>
        <v>265</v>
      </c>
    </row>
    <row r="267" spans="2:2">
      <c r="B267">
        <f t="shared" si="5"/>
        <v>266</v>
      </c>
    </row>
    <row r="268" spans="2:2">
      <c r="B268">
        <f t="shared" si="5"/>
        <v>267</v>
      </c>
    </row>
    <row r="269" spans="2:2">
      <c r="B269">
        <f t="shared" si="5"/>
        <v>268</v>
      </c>
    </row>
    <row r="270" spans="2:2">
      <c r="B270">
        <f t="shared" si="5"/>
        <v>269</v>
      </c>
    </row>
    <row r="271" spans="2:2">
      <c r="B271">
        <f t="shared" si="5"/>
        <v>270</v>
      </c>
    </row>
    <row r="272" spans="2:2">
      <c r="B272">
        <f t="shared" si="5"/>
        <v>271</v>
      </c>
    </row>
    <row r="273" spans="2:2">
      <c r="B273">
        <f t="shared" si="5"/>
        <v>272</v>
      </c>
    </row>
    <row r="274" spans="2:2">
      <c r="B274">
        <f t="shared" si="5"/>
        <v>273</v>
      </c>
    </row>
    <row r="275" spans="2:2">
      <c r="B275">
        <f t="shared" si="5"/>
        <v>274</v>
      </c>
    </row>
    <row r="276" spans="2:2">
      <c r="B276">
        <f t="shared" si="5"/>
        <v>275</v>
      </c>
    </row>
    <row r="277" spans="2:2">
      <c r="B277">
        <f t="shared" si="5"/>
        <v>276</v>
      </c>
    </row>
    <row r="278" spans="2:2">
      <c r="B278">
        <f t="shared" si="5"/>
        <v>277</v>
      </c>
    </row>
    <row r="279" spans="2:2">
      <c r="B279">
        <f t="shared" si="5"/>
        <v>278</v>
      </c>
    </row>
    <row r="280" spans="2:2">
      <c r="B280">
        <f t="shared" si="5"/>
        <v>279</v>
      </c>
    </row>
    <row r="281" spans="2:2">
      <c r="B281">
        <f t="shared" si="5"/>
        <v>280</v>
      </c>
    </row>
    <row r="282" spans="2:2">
      <c r="B282">
        <f t="shared" si="5"/>
        <v>281</v>
      </c>
    </row>
    <row r="283" spans="2:2">
      <c r="B283">
        <f t="shared" si="5"/>
        <v>282</v>
      </c>
    </row>
    <row r="284" spans="2:2">
      <c r="B284">
        <f t="shared" si="5"/>
        <v>283</v>
      </c>
    </row>
    <row r="285" spans="2:2">
      <c r="B285">
        <f t="shared" si="5"/>
        <v>284</v>
      </c>
    </row>
    <row r="286" spans="2:2">
      <c r="B286">
        <f t="shared" si="5"/>
        <v>285</v>
      </c>
    </row>
    <row r="287" spans="2:2">
      <c r="B287">
        <f t="shared" si="5"/>
        <v>286</v>
      </c>
    </row>
    <row r="288" spans="2:2">
      <c r="B288">
        <f t="shared" si="5"/>
        <v>287</v>
      </c>
    </row>
    <row r="289" spans="2:2">
      <c r="B289">
        <f t="shared" si="5"/>
        <v>288</v>
      </c>
    </row>
    <row r="290" spans="2:2">
      <c r="B290">
        <f t="shared" si="5"/>
        <v>289</v>
      </c>
    </row>
    <row r="291" spans="2:2">
      <c r="B291">
        <f t="shared" si="5"/>
        <v>290</v>
      </c>
    </row>
    <row r="292" spans="2:2">
      <c r="B292">
        <f t="shared" si="5"/>
        <v>291</v>
      </c>
    </row>
    <row r="293" spans="2:2">
      <c r="B293">
        <f t="shared" si="5"/>
        <v>292</v>
      </c>
    </row>
    <row r="294" spans="2:2">
      <c r="B294">
        <f t="shared" si="5"/>
        <v>293</v>
      </c>
    </row>
    <row r="295" spans="2:2">
      <c r="B295">
        <f t="shared" si="5"/>
        <v>294</v>
      </c>
    </row>
    <row r="296" spans="2:2">
      <c r="B296">
        <f t="shared" si="5"/>
        <v>295</v>
      </c>
    </row>
    <row r="297" spans="2:2">
      <c r="B297">
        <f t="shared" si="5"/>
        <v>296</v>
      </c>
    </row>
    <row r="298" spans="2:2">
      <c r="B298">
        <f t="shared" si="5"/>
        <v>297</v>
      </c>
    </row>
    <row r="299" spans="2:2">
      <c r="B299">
        <f t="shared" si="5"/>
        <v>298</v>
      </c>
    </row>
    <row r="300" spans="2:2">
      <c r="B300">
        <f t="shared" si="5"/>
        <v>299</v>
      </c>
    </row>
    <row r="301" spans="2:2">
      <c r="B301">
        <f t="shared" si="5"/>
        <v>300</v>
      </c>
    </row>
    <row r="302" spans="2:2">
      <c r="B302">
        <f t="shared" si="5"/>
        <v>301</v>
      </c>
    </row>
    <row r="303" spans="2:2">
      <c r="B303">
        <f t="shared" si="5"/>
        <v>302</v>
      </c>
    </row>
    <row r="304" spans="2:2">
      <c r="B304">
        <f t="shared" si="5"/>
        <v>303</v>
      </c>
    </row>
    <row r="305" spans="2:2">
      <c r="B305">
        <f t="shared" si="5"/>
        <v>304</v>
      </c>
    </row>
    <row r="306" spans="2:2">
      <c r="B306">
        <f t="shared" si="5"/>
        <v>305</v>
      </c>
    </row>
    <row r="307" spans="2:2">
      <c r="B307">
        <f t="shared" si="5"/>
        <v>306</v>
      </c>
    </row>
    <row r="308" spans="2:2">
      <c r="B308">
        <f t="shared" si="5"/>
        <v>307</v>
      </c>
    </row>
    <row r="309" spans="2:2">
      <c r="B309">
        <f t="shared" si="5"/>
        <v>308</v>
      </c>
    </row>
    <row r="310" spans="2:2">
      <c r="B310">
        <f t="shared" si="5"/>
        <v>309</v>
      </c>
    </row>
    <row r="311" spans="2:2">
      <c r="B311">
        <f t="shared" si="5"/>
        <v>310</v>
      </c>
    </row>
    <row r="312" spans="2:2">
      <c r="B312">
        <f t="shared" si="5"/>
        <v>311</v>
      </c>
    </row>
    <row r="313" spans="2:2">
      <c r="B313">
        <f t="shared" si="5"/>
        <v>312</v>
      </c>
    </row>
    <row r="314" spans="2:2">
      <c r="B314">
        <f t="shared" si="5"/>
        <v>313</v>
      </c>
    </row>
    <row r="315" spans="2:2">
      <c r="B315">
        <f t="shared" si="5"/>
        <v>314</v>
      </c>
    </row>
    <row r="316" spans="2:2">
      <c r="B316">
        <f t="shared" si="5"/>
        <v>315</v>
      </c>
    </row>
    <row r="317" spans="2:2">
      <c r="B317">
        <f t="shared" si="5"/>
        <v>316</v>
      </c>
    </row>
    <row r="318" spans="2:2">
      <c r="B318">
        <f t="shared" si="5"/>
        <v>317</v>
      </c>
    </row>
    <row r="319" spans="2:2">
      <c r="B319">
        <f t="shared" si="5"/>
        <v>318</v>
      </c>
    </row>
    <row r="320" spans="2:2">
      <c r="B320">
        <f t="shared" si="5"/>
        <v>319</v>
      </c>
    </row>
    <row r="321" spans="2:2">
      <c r="B321">
        <f t="shared" si="5"/>
        <v>320</v>
      </c>
    </row>
    <row r="322" spans="2:2">
      <c r="B322">
        <f t="shared" si="5"/>
        <v>321</v>
      </c>
    </row>
    <row r="323" spans="2:2">
      <c r="B323">
        <f t="shared" si="5"/>
        <v>322</v>
      </c>
    </row>
    <row r="324" spans="2:2">
      <c r="B324">
        <f t="shared" ref="B324:B347" si="6">B323+1</f>
        <v>323</v>
      </c>
    </row>
    <row r="325" spans="2:2">
      <c r="B325">
        <f t="shared" si="6"/>
        <v>324</v>
      </c>
    </row>
    <row r="326" spans="2:2">
      <c r="B326">
        <f t="shared" si="6"/>
        <v>325</v>
      </c>
    </row>
    <row r="327" spans="2:2">
      <c r="B327">
        <f t="shared" si="6"/>
        <v>326</v>
      </c>
    </row>
    <row r="328" spans="2:2">
      <c r="B328">
        <f t="shared" si="6"/>
        <v>327</v>
      </c>
    </row>
    <row r="329" spans="2:2">
      <c r="B329">
        <f t="shared" si="6"/>
        <v>328</v>
      </c>
    </row>
    <row r="330" spans="2:2">
      <c r="B330">
        <f t="shared" si="6"/>
        <v>329</v>
      </c>
    </row>
    <row r="331" spans="2:2">
      <c r="B331">
        <f t="shared" si="6"/>
        <v>330</v>
      </c>
    </row>
    <row r="332" spans="2:2">
      <c r="B332">
        <f t="shared" si="6"/>
        <v>331</v>
      </c>
    </row>
    <row r="333" spans="2:2">
      <c r="B333">
        <f t="shared" si="6"/>
        <v>332</v>
      </c>
    </row>
    <row r="334" spans="2:2">
      <c r="B334">
        <f t="shared" si="6"/>
        <v>333</v>
      </c>
    </row>
    <row r="335" spans="2:2">
      <c r="B335">
        <f t="shared" si="6"/>
        <v>334</v>
      </c>
    </row>
    <row r="336" spans="2:2">
      <c r="B336">
        <f t="shared" si="6"/>
        <v>335</v>
      </c>
    </row>
    <row r="337" spans="2:2">
      <c r="B337">
        <f t="shared" si="6"/>
        <v>336</v>
      </c>
    </row>
    <row r="338" spans="2:2">
      <c r="B338">
        <f t="shared" si="6"/>
        <v>337</v>
      </c>
    </row>
    <row r="339" spans="2:2">
      <c r="B339">
        <f t="shared" si="6"/>
        <v>338</v>
      </c>
    </row>
    <row r="340" spans="2:2">
      <c r="B340">
        <f t="shared" si="6"/>
        <v>339</v>
      </c>
    </row>
    <row r="341" spans="2:2">
      <c r="B341">
        <f t="shared" si="6"/>
        <v>340</v>
      </c>
    </row>
    <row r="342" spans="2:2">
      <c r="B342">
        <f t="shared" si="6"/>
        <v>341</v>
      </c>
    </row>
    <row r="343" spans="2:2">
      <c r="B343">
        <f t="shared" si="6"/>
        <v>342</v>
      </c>
    </row>
    <row r="344" spans="2:2">
      <c r="B344">
        <f t="shared" si="6"/>
        <v>343</v>
      </c>
    </row>
    <row r="345" spans="2:2">
      <c r="B345">
        <f t="shared" si="6"/>
        <v>344</v>
      </c>
    </row>
    <row r="346" spans="2:2">
      <c r="B346">
        <f t="shared" si="6"/>
        <v>345</v>
      </c>
    </row>
    <row r="347" spans="2:2">
      <c r="B347">
        <f t="shared" si="6"/>
        <v>346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F16"/>
  <sheetViews>
    <sheetView workbookViewId="0">
      <selection activeCell="F15" sqref="F15:F16"/>
    </sheetView>
  </sheetViews>
  <sheetFormatPr defaultRowHeight="12.75"/>
  <cols>
    <col min="1" max="1" width="2.28515625" customWidth="1"/>
    <col min="6" max="6" width="14" bestFit="1" customWidth="1"/>
  </cols>
  <sheetData>
    <row r="15" spans="6:6">
      <c r="F15" s="36"/>
    </row>
    <row r="16" spans="6:6">
      <c r="F1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Paket PRIM 2019</vt:lpstr>
      <vt:lpstr>Realisasi </vt:lpstr>
      <vt:lpstr>Real UM&amp;MC (per-bulan) </vt:lpstr>
      <vt:lpstr>Sheet3</vt:lpstr>
      <vt:lpstr>Sheet1</vt:lpstr>
      <vt:lpstr>Sheet2</vt:lpstr>
      <vt:lpstr>'Paket PRIM 2019'!Print_Area</vt:lpstr>
      <vt:lpstr>'Real UM&amp;MC (per-bulan) '!Print_Area</vt:lpstr>
      <vt:lpstr>'Realisasi '!Print_Area</vt:lpstr>
      <vt:lpstr>'Paket PRIM 2019'!Print_Titles</vt:lpstr>
      <vt:lpstr>'Real UM&amp;MC (per-bulan) '!Print_Titles</vt:lpstr>
      <vt:lpstr>'Realisasi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Dunia Maya</cp:lastModifiedBy>
  <cp:lastPrinted>2019-05-24T07:31:37Z</cp:lastPrinted>
  <dcterms:created xsi:type="dcterms:W3CDTF">2006-06-19T04:04:06Z</dcterms:created>
  <dcterms:modified xsi:type="dcterms:W3CDTF">2019-06-17T01:58:03Z</dcterms:modified>
</cp:coreProperties>
</file>