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600" yWindow="-15" windowWidth="9615" windowHeight="7185" tabRatio="607" activeTab="1"/>
  </bookViews>
  <sheets>
    <sheet name="Paket PRIM 2019" sheetId="65" r:id="rId1"/>
    <sheet name="Realisasi " sheetId="66" r:id="rId2"/>
    <sheet name="Real UM&amp;MC (per-bulan) " sheetId="67" r:id="rId3"/>
    <sheet name="Sheet3" sheetId="64" r:id="rId4"/>
    <sheet name="Sheet1" sheetId="43" r:id="rId5"/>
    <sheet name="Sheet2" sheetId="53" r:id="rId6"/>
    <sheet name="Realisasi  (2)" sheetId="68" r:id="rId7"/>
    <sheet name="Sheet4" sheetId="69" r:id="rId8"/>
  </sheets>
  <externalReferences>
    <externalReference r:id="rId9"/>
    <externalReference r:id="rId10"/>
  </externalReferences>
  <definedNames>
    <definedName name="_xlnm.Print_Area" localSheetId="0">'Paket PRIM 2019'!$A$1:$Q$35</definedName>
    <definedName name="_xlnm.Print_Area" localSheetId="2">'Real UM&amp;MC (per-bulan) '!$A$1:$U$58</definedName>
    <definedName name="_xlnm.Print_Area" localSheetId="1">'Realisasi '!$A$1:$Y$35</definedName>
    <definedName name="_xlnm.Print_Area" localSheetId="6">'Realisasi  (2)'!$A$1:$Y$38</definedName>
    <definedName name="_xlnm.Print_Titles" localSheetId="0">'Paket PRIM 2019'!$8:$10</definedName>
    <definedName name="_xlnm.Print_Titles" localSheetId="2">'Real UM&amp;MC (per-bulan) '!$7:$10</definedName>
    <definedName name="_xlnm.Print_Titles" localSheetId="1">'Realisasi '!$6:$9</definedName>
    <definedName name="_xlnm.Print_Titles" localSheetId="6">'Realisasi  (2)'!$6:$9</definedName>
  </definedNames>
  <calcPr calcId="144525"/>
</workbook>
</file>

<file path=xl/calcChain.xml><?xml version="1.0" encoding="utf-8"?>
<calcChain xmlns="http://schemas.openxmlformats.org/spreadsheetml/2006/main">
  <c r="G34" i="65" l="1"/>
  <c r="F34" i="65"/>
  <c r="E34" i="65"/>
  <c r="M35" i="67" l="1"/>
  <c r="J35" i="67"/>
  <c r="G26" i="67" l="1"/>
  <c r="G23" i="67"/>
  <c r="G20" i="67"/>
  <c r="G17" i="67"/>
  <c r="G14" i="67"/>
  <c r="AH36" i="68" l="1"/>
  <c r="AG36" i="68"/>
  <c r="AF36" i="68"/>
  <c r="AE36" i="68"/>
  <c r="AD36" i="68"/>
  <c r="AC36" i="68"/>
  <c r="AB36" i="68"/>
  <c r="AA36" i="68"/>
  <c r="Z36" i="68"/>
  <c r="X36" i="68"/>
  <c r="W36" i="68"/>
  <c r="V36" i="68"/>
  <c r="U36" i="68"/>
  <c r="T36" i="68"/>
  <c r="S36" i="68"/>
  <c r="R36" i="68"/>
  <c r="Q36" i="68"/>
  <c r="P36" i="68"/>
  <c r="O36" i="68"/>
  <c r="N36" i="68"/>
  <c r="M36" i="68"/>
  <c r="L36" i="68"/>
  <c r="K36" i="68"/>
  <c r="J36" i="68"/>
  <c r="I36" i="68"/>
  <c r="H36" i="68"/>
  <c r="H37" i="68" s="1"/>
  <c r="G36" i="68"/>
  <c r="G37" i="68" s="1"/>
  <c r="F36" i="68"/>
  <c r="F37" i="68"/>
  <c r="K37" i="68"/>
  <c r="L37" i="68"/>
  <c r="M37" i="68"/>
  <c r="N37" i="68"/>
  <c r="O37" i="68"/>
  <c r="P37" i="68"/>
  <c r="Q37" i="68"/>
  <c r="R37" i="68"/>
  <c r="S37" i="68"/>
  <c r="T37" i="68"/>
  <c r="E36" i="68"/>
  <c r="E37" i="68"/>
  <c r="I35" i="68"/>
  <c r="J35" i="68" s="1"/>
  <c r="AB35" i="68"/>
  <c r="AC35" i="68" s="1"/>
  <c r="X35" i="68" s="1"/>
  <c r="Z35" i="68"/>
  <c r="AA35" i="68" s="1"/>
  <c r="W35" i="68"/>
  <c r="H35" i="68"/>
  <c r="I65" i="68"/>
  <c r="X56" i="68"/>
  <c r="X57" i="68" s="1"/>
  <c r="X58" i="68" s="1"/>
  <c r="D50" i="68"/>
  <c r="D51" i="68" s="1"/>
  <c r="D52" i="68" s="1"/>
  <c r="D53" i="68" s="1"/>
  <c r="D46" i="68"/>
  <c r="G45" i="68"/>
  <c r="D44" i="68"/>
  <c r="T33" i="68"/>
  <c r="S33" i="68"/>
  <c r="R33" i="68"/>
  <c r="Q33" i="68"/>
  <c r="P33" i="68"/>
  <c r="O33" i="68"/>
  <c r="N33" i="68"/>
  <c r="M33" i="68"/>
  <c r="L33" i="68"/>
  <c r="K33" i="68"/>
  <c r="E33" i="68"/>
  <c r="W32" i="68"/>
  <c r="G32" i="68"/>
  <c r="H32" i="68" s="1"/>
  <c r="Z32" i="68" s="1"/>
  <c r="C32" i="68"/>
  <c r="W30" i="68"/>
  <c r="G30" i="68"/>
  <c r="F30" i="68"/>
  <c r="F33" i="68" s="1"/>
  <c r="C30" i="68"/>
  <c r="O28" i="68"/>
  <c r="M28" i="68"/>
  <c r="N28" i="68" s="1"/>
  <c r="L28" i="68"/>
  <c r="K28" i="68"/>
  <c r="AI27" i="68"/>
  <c r="AD27" i="68"/>
  <c r="AE27" i="68" s="1"/>
  <c r="AF27" i="68" s="1"/>
  <c r="AB27" i="68"/>
  <c r="Z27" i="68"/>
  <c r="R27" i="68"/>
  <c r="AI26" i="68"/>
  <c r="AD26" i="68"/>
  <c r="AB26" i="68"/>
  <c r="Z26" i="68"/>
  <c r="W25" i="68"/>
  <c r="S25" i="68"/>
  <c r="T25" i="68" s="1"/>
  <c r="R25" i="68"/>
  <c r="O25" i="68"/>
  <c r="P25" i="68" s="1"/>
  <c r="N25" i="68"/>
  <c r="K25" i="68"/>
  <c r="H25" i="68"/>
  <c r="AB25" i="68" s="1"/>
  <c r="G25" i="68"/>
  <c r="AI25" i="68" s="1"/>
  <c r="F25" i="68"/>
  <c r="E25" i="68"/>
  <c r="D25" i="68"/>
  <c r="C25" i="68"/>
  <c r="AI24" i="68"/>
  <c r="AD24" i="68"/>
  <c r="AE24" i="68" s="1"/>
  <c r="AF24" i="68" s="1"/>
  <c r="AB24" i="68"/>
  <c r="Z24" i="68"/>
  <c r="AI23" i="68"/>
  <c r="AD23" i="68"/>
  <c r="AE23" i="68" s="1"/>
  <c r="AF23" i="68" s="1"/>
  <c r="AB23" i="68"/>
  <c r="Z23" i="68"/>
  <c r="AI22" i="68"/>
  <c r="W22" i="68"/>
  <c r="T22" i="68"/>
  <c r="S22" i="68"/>
  <c r="R22" i="68"/>
  <c r="O22" i="68"/>
  <c r="N22" i="68"/>
  <c r="K22" i="68"/>
  <c r="H22" i="68"/>
  <c r="AB22" i="68" s="1"/>
  <c r="G22" i="68"/>
  <c r="AD22" i="68" s="1"/>
  <c r="F22" i="68"/>
  <c r="E22" i="68"/>
  <c r="D22" i="68"/>
  <c r="C22" i="68"/>
  <c r="AI21" i="68"/>
  <c r="AE21" i="68"/>
  <c r="AD21" i="68"/>
  <c r="AF21" i="68" s="1"/>
  <c r="AB21" i="68"/>
  <c r="Z21" i="68"/>
  <c r="AI20" i="68"/>
  <c r="AE20" i="68"/>
  <c r="AD20" i="68"/>
  <c r="AF20" i="68" s="1"/>
  <c r="AB20" i="68"/>
  <c r="Z20" i="68"/>
  <c r="W19" i="68"/>
  <c r="S19" i="68"/>
  <c r="T19" i="68" s="1"/>
  <c r="R19" i="68"/>
  <c r="Q19" i="68"/>
  <c r="O19" i="68"/>
  <c r="P19" i="68" s="1"/>
  <c r="N19" i="68"/>
  <c r="K19" i="68"/>
  <c r="H19" i="68"/>
  <c r="Z19" i="68" s="1"/>
  <c r="G19" i="68"/>
  <c r="AI19" i="68" s="1"/>
  <c r="F19" i="68"/>
  <c r="E19" i="68"/>
  <c r="D19" i="68"/>
  <c r="C19" i="68"/>
  <c r="AI18" i="68"/>
  <c r="AD18" i="68"/>
  <c r="AE18" i="68" s="1"/>
  <c r="AB18" i="68"/>
  <c r="Z18" i="68"/>
  <c r="AI17" i="68"/>
  <c r="AD17" i="68"/>
  <c r="AB17" i="68"/>
  <c r="Z17" i="68"/>
  <c r="AD16" i="68"/>
  <c r="AE16" i="68" s="1"/>
  <c r="AF16" i="68" s="1"/>
  <c r="AH16" i="68" s="1"/>
  <c r="W16" i="68"/>
  <c r="T16" i="68"/>
  <c r="S16" i="68"/>
  <c r="R16" i="68"/>
  <c r="P16" i="68"/>
  <c r="O16" i="68"/>
  <c r="Q16" i="68" s="1"/>
  <c r="N16" i="68"/>
  <c r="K16" i="68"/>
  <c r="H16" i="68"/>
  <c r="AB16" i="68" s="1"/>
  <c r="G16" i="68"/>
  <c r="AI16" i="68" s="1"/>
  <c r="F16" i="68"/>
  <c r="E16" i="68"/>
  <c r="D16" i="68"/>
  <c r="C16" i="68"/>
  <c r="AI15" i="68"/>
  <c r="AE15" i="68"/>
  <c r="AF15" i="68" s="1"/>
  <c r="AD15" i="68"/>
  <c r="AB15" i="68"/>
  <c r="Z15" i="68"/>
  <c r="AI14" i="68"/>
  <c r="AE14" i="68"/>
  <c r="AF14" i="68" s="1"/>
  <c r="AD14" i="68"/>
  <c r="AB14" i="68"/>
  <c r="Z14" i="68"/>
  <c r="W13" i="68"/>
  <c r="S13" i="68"/>
  <c r="T13" i="68" s="1"/>
  <c r="R13" i="68"/>
  <c r="R28" i="68" s="1"/>
  <c r="O13" i="68"/>
  <c r="P13" i="68" s="1"/>
  <c r="N13" i="68"/>
  <c r="K13" i="68"/>
  <c r="H13" i="68"/>
  <c r="AB13" i="68" s="1"/>
  <c r="G13" i="68"/>
  <c r="AI13" i="68" s="1"/>
  <c r="F13" i="68"/>
  <c r="E13" i="68"/>
  <c r="D13" i="68"/>
  <c r="C13" i="68"/>
  <c r="O11" i="68"/>
  <c r="AB19" i="68" l="1"/>
  <c r="F28" i="68"/>
  <c r="AD13" i="68"/>
  <c r="AE13" i="68" s="1"/>
  <c r="AF13" i="68" s="1"/>
  <c r="AH13" i="68" s="1"/>
  <c r="AD25" i="68"/>
  <c r="AE25" i="68" s="1"/>
  <c r="G33" i="68"/>
  <c r="Q22" i="68"/>
  <c r="Q25" i="68"/>
  <c r="Z13" i="68"/>
  <c r="AA13" i="68" s="1"/>
  <c r="Z22" i="68"/>
  <c r="Z25" i="68"/>
  <c r="D47" i="68"/>
  <c r="E28" i="68"/>
  <c r="AC16" i="68"/>
  <c r="X16" i="68" s="1"/>
  <c r="AF22" i="68"/>
  <c r="AH22" i="68" s="1"/>
  <c r="AE22" i="68"/>
  <c r="AC20" i="68"/>
  <c r="AB28" i="68"/>
  <c r="AC17" i="68"/>
  <c r="AE17" i="68"/>
  <c r="AF17" i="68" s="1"/>
  <c r="H28" i="68"/>
  <c r="Z11" i="68" s="1"/>
  <c r="AA19" i="68" s="1"/>
  <c r="P28" i="68"/>
  <c r="AB30" i="68"/>
  <c r="Q13" i="68"/>
  <c r="AF18" i="68"/>
  <c r="AD19" i="68"/>
  <c r="P22" i="68"/>
  <c r="AF25" i="68"/>
  <c r="AH25" i="68" s="1"/>
  <c r="AE26" i="68"/>
  <c r="AF26" i="68" s="1"/>
  <c r="H30" i="68"/>
  <c r="Z16" i="68"/>
  <c r="G28" i="68"/>
  <c r="S28" i="68"/>
  <c r="T28" i="68" s="1"/>
  <c r="AB32" i="68"/>
  <c r="Q28" i="68" l="1"/>
  <c r="AC27" i="68"/>
  <c r="AA18" i="68"/>
  <c r="AA22" i="68"/>
  <c r="AA15" i="68"/>
  <c r="AC24" i="68"/>
  <c r="AA23" i="68"/>
  <c r="AC19" i="68"/>
  <c r="X19" i="68" s="1"/>
  <c r="AA27" i="68"/>
  <c r="AC21" i="68"/>
  <c r="AA26" i="68"/>
  <c r="AA20" i="68"/>
  <c r="AC15" i="68"/>
  <c r="AC14" i="68"/>
  <c r="AC26" i="68"/>
  <c r="AA21" i="68"/>
  <c r="AC25" i="68"/>
  <c r="X25" i="68" s="1"/>
  <c r="AA25" i="68"/>
  <c r="AC22" i="68"/>
  <c r="X22" i="68" s="1"/>
  <c r="AC18" i="68"/>
  <c r="AB33" i="68"/>
  <c r="AA14" i="68"/>
  <c r="AA16" i="68"/>
  <c r="AE19" i="68"/>
  <c r="AF19" i="68" s="1"/>
  <c r="AH19" i="68" s="1"/>
  <c r="AA17" i="68"/>
  <c r="Z30" i="68"/>
  <c r="H33" i="68"/>
  <c r="AC13" i="68"/>
  <c r="AA24" i="68"/>
  <c r="Z28" i="68"/>
  <c r="AC23" i="68"/>
  <c r="AA28" i="68" l="1"/>
  <c r="U28" i="68" s="1"/>
  <c r="Z33" i="68"/>
  <c r="X13" i="68"/>
  <c r="X28" i="68" s="1"/>
  <c r="AC28" i="68"/>
  <c r="V28" i="68" s="1"/>
  <c r="Z29" i="68"/>
  <c r="AA30" i="68" s="1"/>
  <c r="Z8" i="68"/>
  <c r="AB37" i="68"/>
  <c r="W28" i="68" l="1"/>
  <c r="AD33" i="68"/>
  <c r="AA56" i="68"/>
  <c r="Z37" i="68"/>
  <c r="AA32" i="68"/>
  <c r="AA33" i="68" s="1"/>
  <c r="U33" i="68" s="1"/>
  <c r="AC32" i="68"/>
  <c r="X32" i="68" s="1"/>
  <c r="AC30" i="68"/>
  <c r="AD37" i="68"/>
  <c r="AC37" i="68"/>
  <c r="AC38" i="68"/>
  <c r="V37" i="68" l="1"/>
  <c r="X37" i="68"/>
  <c r="AA37" i="68"/>
  <c r="U37" i="68" s="1"/>
  <c r="AA38" i="68"/>
  <c r="X30" i="68"/>
  <c r="AC33" i="68"/>
  <c r="W37" i="68" l="1"/>
  <c r="V33" i="68"/>
  <c r="W33" i="68" s="1"/>
  <c r="X33" i="68"/>
  <c r="L35" i="67" l="1"/>
  <c r="I37" i="65"/>
  <c r="L45" i="67"/>
  <c r="K45" i="67"/>
  <c r="J45" i="67"/>
  <c r="I45" i="67"/>
  <c r="H45" i="67"/>
  <c r="G45" i="67"/>
  <c r="F45" i="67"/>
  <c r="M45" i="67"/>
  <c r="N45" i="67"/>
  <c r="L44" i="67"/>
  <c r="K44" i="67"/>
  <c r="J44" i="67"/>
  <c r="I44" i="67"/>
  <c r="M44" i="67"/>
  <c r="N44" i="67"/>
  <c r="H44" i="67"/>
  <c r="G44" i="67"/>
  <c r="F44" i="67"/>
  <c r="F26" i="67"/>
  <c r="F23" i="67"/>
  <c r="F20" i="67"/>
  <c r="F17" i="67"/>
  <c r="F14" i="67"/>
  <c r="G68" i="67"/>
  <c r="G67" i="67"/>
  <c r="G66" i="67"/>
  <c r="G65" i="67"/>
  <c r="G64" i="67"/>
  <c r="G63" i="67"/>
  <c r="G62" i="67"/>
  <c r="G43" i="67"/>
  <c r="G42" i="67"/>
  <c r="G41" i="67"/>
  <c r="G40" i="67"/>
  <c r="O54" i="67"/>
  <c r="G69" i="67"/>
  <c r="O51" i="67"/>
  <c r="L43" i="67"/>
  <c r="L42" i="67"/>
  <c r="L41" i="67"/>
  <c r="L40" i="67"/>
  <c r="K43" i="67"/>
  <c r="K42" i="67"/>
  <c r="K41" i="67"/>
  <c r="K40" i="67"/>
  <c r="J43" i="67"/>
  <c r="J42" i="67"/>
  <c r="J41" i="67"/>
  <c r="J40" i="67"/>
  <c r="I43" i="67"/>
  <c r="I42" i="67"/>
  <c r="I41" i="67"/>
  <c r="I40" i="67"/>
  <c r="H43" i="67"/>
  <c r="H42" i="67"/>
  <c r="H41" i="67"/>
  <c r="H40" i="67"/>
  <c r="F43" i="67"/>
  <c r="F42" i="67"/>
  <c r="F41" i="67"/>
  <c r="F40" i="67"/>
  <c r="L55" i="67"/>
  <c r="K55" i="67"/>
  <c r="J55" i="67"/>
  <c r="I55" i="67"/>
  <c r="H55" i="67"/>
  <c r="F55" i="67"/>
  <c r="L54" i="67"/>
  <c r="K54" i="67"/>
  <c r="J54" i="67"/>
  <c r="I54" i="67"/>
  <c r="H54" i="67"/>
  <c r="F54" i="67"/>
  <c r="L53" i="67"/>
  <c r="K53" i="67"/>
  <c r="J53" i="67"/>
  <c r="I53" i="67"/>
  <c r="H53" i="67"/>
  <c r="F53" i="67"/>
  <c r="M54" i="67"/>
  <c r="N54" i="67"/>
  <c r="M51" i="67"/>
  <c r="N51" i="67"/>
  <c r="L57" i="67"/>
  <c r="K57" i="67"/>
  <c r="J57" i="67"/>
  <c r="I57" i="67"/>
  <c r="H57" i="67"/>
  <c r="M53" i="67"/>
  <c r="N53" i="67"/>
  <c r="M43" i="67"/>
  <c r="N43" i="67"/>
  <c r="M55" i="67"/>
  <c r="N55" i="67"/>
  <c r="F57" i="67"/>
  <c r="Q36" i="67"/>
  <c r="P36" i="67"/>
  <c r="O36" i="67"/>
  <c r="O37" i="67" s="1"/>
  <c r="N36" i="67"/>
  <c r="M36" i="67"/>
  <c r="L36" i="67"/>
  <c r="H36" i="67"/>
  <c r="G36" i="67"/>
  <c r="R42" i="67"/>
  <c r="M42" i="67"/>
  <c r="N42" i="67"/>
  <c r="M41" i="67"/>
  <c r="N41" i="67"/>
  <c r="Q56" i="67"/>
  <c r="P51" i="67"/>
  <c r="M40" i="67"/>
  <c r="M57" i="67"/>
  <c r="M19" i="53"/>
  <c r="G19" i="53"/>
  <c r="D19" i="53"/>
  <c r="J19" i="53"/>
  <c r="J9" i="53"/>
  <c r="M9" i="53"/>
  <c r="M8" i="53"/>
  <c r="M7" i="53"/>
  <c r="M6" i="53"/>
  <c r="J8" i="53"/>
  <c r="J7" i="53"/>
  <c r="J6" i="53"/>
  <c r="G9" i="53"/>
  <c r="G8" i="53"/>
  <c r="G7" i="53"/>
  <c r="G6" i="53"/>
  <c r="D9" i="53"/>
  <c r="D8" i="53"/>
  <c r="D7" i="53"/>
  <c r="D6" i="53"/>
  <c r="M18" i="53"/>
  <c r="M17" i="53"/>
  <c r="M16" i="53"/>
  <c r="J18" i="53"/>
  <c r="J17" i="53"/>
  <c r="J16" i="53"/>
  <c r="G18" i="53"/>
  <c r="G17" i="53"/>
  <c r="G16" i="53"/>
  <c r="D18" i="53"/>
  <c r="D17" i="53"/>
  <c r="D16" i="53"/>
  <c r="N40" i="67"/>
  <c r="N57" i="67"/>
  <c r="M10" i="53"/>
  <c r="J10" i="53"/>
  <c r="D10" i="53"/>
  <c r="G10" i="53"/>
  <c r="C16" i="64"/>
  <c r="C15" i="64"/>
  <c r="C14" i="64"/>
  <c r="C7" i="64"/>
  <c r="C6" i="64"/>
  <c r="C5" i="64"/>
  <c r="C4" i="64"/>
  <c r="Q74" i="67"/>
  <c r="Q80" i="67"/>
  <c r="J76" i="67"/>
  <c r="K33" i="67"/>
  <c r="K35" i="67"/>
  <c r="Q76" i="67"/>
  <c r="Q83" i="67"/>
  <c r="K36" i="67"/>
  <c r="E16" i="65"/>
  <c r="E13" i="66"/>
  <c r="F25" i="66"/>
  <c r="E25" i="66"/>
  <c r="F22" i="66"/>
  <c r="E22" i="66"/>
  <c r="F19" i="66"/>
  <c r="E19" i="66"/>
  <c r="F16" i="66"/>
  <c r="E16" i="66"/>
  <c r="F13" i="66"/>
  <c r="H25" i="66"/>
  <c r="H22" i="66"/>
  <c r="H19" i="66"/>
  <c r="H16" i="66"/>
  <c r="H13" i="66"/>
  <c r="I32" i="65"/>
  <c r="I28" i="65"/>
  <c r="I24" i="65"/>
  <c r="I20" i="65"/>
  <c r="G32" i="65"/>
  <c r="G28" i="65"/>
  <c r="G24" i="65"/>
  <c r="G20" i="65"/>
  <c r="I16" i="65"/>
  <c r="G16" i="65"/>
  <c r="L67" i="67"/>
  <c r="K68" i="67"/>
  <c r="K67" i="67"/>
  <c r="K69" i="67"/>
  <c r="I81" i="67"/>
  <c r="K20" i="67"/>
  <c r="G42" i="66"/>
  <c r="D41" i="66"/>
  <c r="W16" i="66"/>
  <c r="I35" i="67"/>
  <c r="J36" i="67"/>
  <c r="K61" i="67"/>
  <c r="I36" i="67"/>
  <c r="P40" i="67"/>
  <c r="Q67" i="67"/>
  <c r="D47" i="66"/>
  <c r="D48" i="66" s="1"/>
  <c r="D43" i="66"/>
  <c r="F30" i="66"/>
  <c r="F35" i="67"/>
  <c r="AI27" i="66"/>
  <c r="AD27" i="66"/>
  <c r="AB27" i="66"/>
  <c r="Z27" i="66"/>
  <c r="AI26" i="66"/>
  <c r="AD26" i="66"/>
  <c r="AE26" i="66"/>
  <c r="AB26" i="66"/>
  <c r="Z26" i="66"/>
  <c r="AI24" i="66"/>
  <c r="AD24" i="66"/>
  <c r="AE24" i="66"/>
  <c r="AF24" i="66"/>
  <c r="AB24" i="66"/>
  <c r="Z24" i="66"/>
  <c r="AI23" i="66"/>
  <c r="AD23" i="66"/>
  <c r="AE23" i="66"/>
  <c r="AF23" i="66"/>
  <c r="AB23" i="66"/>
  <c r="Z23" i="66"/>
  <c r="AI21" i="66"/>
  <c r="AD21" i="66"/>
  <c r="AE21" i="66"/>
  <c r="AF21" i="66"/>
  <c r="AB21" i="66"/>
  <c r="Z21" i="66"/>
  <c r="AI20" i="66"/>
  <c r="AD20" i="66"/>
  <c r="AB20" i="66"/>
  <c r="Z20" i="66"/>
  <c r="AI18" i="66"/>
  <c r="AD18" i="66"/>
  <c r="AE18" i="66"/>
  <c r="AF18" i="66"/>
  <c r="AB18" i="66"/>
  <c r="Z18" i="66"/>
  <c r="AI17" i="66"/>
  <c r="AD17" i="66"/>
  <c r="AE17" i="66"/>
  <c r="AF17" i="66"/>
  <c r="AB17" i="66"/>
  <c r="Z17" i="66"/>
  <c r="AE20" i="66"/>
  <c r="AF20" i="66"/>
  <c r="AE27" i="66"/>
  <c r="AF27" i="66"/>
  <c r="AF26" i="66"/>
  <c r="C32" i="66"/>
  <c r="W25" i="66"/>
  <c r="S25" i="66"/>
  <c r="R25" i="66"/>
  <c r="O25" i="66"/>
  <c r="N25" i="66"/>
  <c r="K25" i="66"/>
  <c r="AB25" i="66"/>
  <c r="G25" i="66"/>
  <c r="D25" i="66"/>
  <c r="C25" i="66"/>
  <c r="W22" i="66"/>
  <c r="S22" i="66"/>
  <c r="R22" i="66"/>
  <c r="O22" i="66"/>
  <c r="P22" i="66"/>
  <c r="N22" i="66"/>
  <c r="K22" i="66"/>
  <c r="Z22" i="66"/>
  <c r="G22" i="66"/>
  <c r="D22" i="66"/>
  <c r="C22" i="66"/>
  <c r="I34" i="65"/>
  <c r="H34" i="65"/>
  <c r="S35" i="67"/>
  <c r="U35" i="67" s="1"/>
  <c r="R35" i="67"/>
  <c r="AI25" i="66"/>
  <c r="AD25" i="66"/>
  <c r="AE25" i="66"/>
  <c r="AF25" i="66"/>
  <c r="AH25" i="66"/>
  <c r="G32" i="66"/>
  <c r="AI22" i="66"/>
  <c r="AD22" i="66"/>
  <c r="AE22" i="66"/>
  <c r="AF22" i="66"/>
  <c r="AH22" i="66"/>
  <c r="W32" i="66"/>
  <c r="T25" i="66"/>
  <c r="T22" i="66"/>
  <c r="AB22" i="66"/>
  <c r="AC22" i="66" s="1"/>
  <c r="X22" i="66" s="1"/>
  <c r="Q25" i="66"/>
  <c r="Q22" i="66"/>
  <c r="Z25" i="66"/>
  <c r="P25" i="66"/>
  <c r="H32" i="66"/>
  <c r="Z32" i="66"/>
  <c r="D44" i="66"/>
  <c r="AB32" i="66"/>
  <c r="F36" i="67"/>
  <c r="Q26" i="67"/>
  <c r="C26" i="67"/>
  <c r="Q23" i="67"/>
  <c r="C23" i="67"/>
  <c r="C20" i="67"/>
  <c r="C17" i="67"/>
  <c r="N30" i="65"/>
  <c r="G30" i="65"/>
  <c r="N26" i="65"/>
  <c r="G26" i="65"/>
  <c r="G22" i="65"/>
  <c r="G18" i="65"/>
  <c r="G14" i="65"/>
  <c r="R23" i="67"/>
  <c r="S23" i="67"/>
  <c r="I22" i="68" s="1"/>
  <c r="J22" i="68" s="1"/>
  <c r="R26" i="67"/>
  <c r="S26" i="67"/>
  <c r="I25" i="68" s="1"/>
  <c r="J25" i="68" s="1"/>
  <c r="N22" i="65"/>
  <c r="N18" i="65"/>
  <c r="W19" i="66"/>
  <c r="W13" i="66"/>
  <c r="S19" i="66"/>
  <c r="R19" i="66"/>
  <c r="T19" i="66" s="1"/>
  <c r="O19" i="66"/>
  <c r="P19" i="66"/>
  <c r="N19" i="66"/>
  <c r="K19" i="66"/>
  <c r="G19" i="66"/>
  <c r="D19" i="66"/>
  <c r="C19" i="66"/>
  <c r="R33" i="67"/>
  <c r="S20" i="67"/>
  <c r="I19" i="68" s="1"/>
  <c r="J19" i="68" s="1"/>
  <c r="R20" i="67"/>
  <c r="Q20" i="67"/>
  <c r="Z16" i="66"/>
  <c r="AB16" i="66"/>
  <c r="AC16" i="66" s="1"/>
  <c r="X16" i="66" s="1"/>
  <c r="AD19" i="66"/>
  <c r="AE19" i="66"/>
  <c r="AF19" i="66"/>
  <c r="AH19" i="66"/>
  <c r="AI19" i="66"/>
  <c r="V33" i="67"/>
  <c r="R36" i="67"/>
  <c r="Q19" i="66"/>
  <c r="R15" i="67"/>
  <c r="X53" i="66"/>
  <c r="X54" i="66"/>
  <c r="X55" i="66"/>
  <c r="S81" i="67"/>
  <c r="S82" i="67"/>
  <c r="S78" i="67"/>
  <c r="S79" i="67"/>
  <c r="P78" i="67"/>
  <c r="R77" i="67"/>
  <c r="P75" i="67"/>
  <c r="P76" i="67"/>
  <c r="S74" i="67"/>
  <c r="L73" i="67"/>
  <c r="L72" i="67"/>
  <c r="L71" i="67"/>
  <c r="K71" i="67"/>
  <c r="L70" i="67"/>
  <c r="E36" i="67"/>
  <c r="S33" i="67"/>
  <c r="I30" i="68" s="1"/>
  <c r="J30" i="68" s="1"/>
  <c r="W29" i="67"/>
  <c r="P29" i="67"/>
  <c r="O29" i="67"/>
  <c r="N29" i="67"/>
  <c r="X29" i="67" s="1"/>
  <c r="M29" i="67"/>
  <c r="M37" i="67" s="1"/>
  <c r="L29" i="67"/>
  <c r="K29" i="67"/>
  <c r="J29" i="67"/>
  <c r="I29" i="67"/>
  <c r="H29" i="67"/>
  <c r="E29" i="67"/>
  <c r="X28" i="67"/>
  <c r="AA17" i="67"/>
  <c r="AE17" i="67"/>
  <c r="Y17" i="67"/>
  <c r="AC17" i="67"/>
  <c r="Q17" i="67"/>
  <c r="AB17" i="67"/>
  <c r="AA16" i="67"/>
  <c r="AE16" i="67"/>
  <c r="Z16" i="67"/>
  <c r="AD16" i="67"/>
  <c r="Y16" i="67"/>
  <c r="AC16" i="67"/>
  <c r="X16" i="67"/>
  <c r="AB16" i="67"/>
  <c r="W16" i="67"/>
  <c r="AA15" i="67"/>
  <c r="AE15" i="67"/>
  <c r="Z15" i="67"/>
  <c r="AD15" i="67"/>
  <c r="Y15" i="67"/>
  <c r="AC15" i="67"/>
  <c r="X15" i="67"/>
  <c r="AB15" i="67"/>
  <c r="W15" i="67"/>
  <c r="V15" i="67"/>
  <c r="AA14" i="67"/>
  <c r="AE14" i="67"/>
  <c r="Y14" i="67"/>
  <c r="AC14" i="67"/>
  <c r="Q14" i="67"/>
  <c r="F29" i="67"/>
  <c r="C14" i="67"/>
  <c r="I62" i="66"/>
  <c r="T33" i="66"/>
  <c r="S33" i="66"/>
  <c r="R33" i="66"/>
  <c r="Q33" i="66"/>
  <c r="P33" i="66"/>
  <c r="O33" i="66"/>
  <c r="N33" i="66"/>
  <c r="M33" i="66"/>
  <c r="L33" i="66"/>
  <c r="K33" i="66"/>
  <c r="F33" i="66"/>
  <c r="E33" i="66"/>
  <c r="W30" i="66"/>
  <c r="G30" i="66"/>
  <c r="G33" i="66"/>
  <c r="C30" i="66"/>
  <c r="O28" i="66"/>
  <c r="P28" i="66"/>
  <c r="M28" i="66"/>
  <c r="L28" i="66"/>
  <c r="K28" i="66"/>
  <c r="R27" i="66"/>
  <c r="AB19" i="66"/>
  <c r="AC19" i="66" s="1"/>
  <c r="X19" i="66" s="1"/>
  <c r="S16" i="66"/>
  <c r="R16" i="66"/>
  <c r="O16" i="66"/>
  <c r="Q16" i="66"/>
  <c r="N16" i="66"/>
  <c r="K16" i="66"/>
  <c r="G16" i="66"/>
  <c r="AD16" i="66"/>
  <c r="D16" i="66"/>
  <c r="C16" i="66"/>
  <c r="AI15" i="66"/>
  <c r="AD15" i="66"/>
  <c r="AE15" i="66"/>
  <c r="AB15" i="66"/>
  <c r="Z15" i="66"/>
  <c r="AI14" i="66"/>
  <c r="AD14" i="66"/>
  <c r="AE14" i="66"/>
  <c r="AB14" i="66"/>
  <c r="Z14" i="66"/>
  <c r="S13" i="66"/>
  <c r="S28" i="66"/>
  <c r="S34" i="66" s="1"/>
  <c r="R13" i="66"/>
  <c r="R28" i="66"/>
  <c r="R34" i="66" s="1"/>
  <c r="O13" i="66"/>
  <c r="P13" i="66"/>
  <c r="N13" i="66"/>
  <c r="K13" i="66"/>
  <c r="AB13" i="66"/>
  <c r="AC13" i="66" s="1"/>
  <c r="G13" i="66"/>
  <c r="F28" i="66"/>
  <c r="E28" i="66"/>
  <c r="D13" i="66"/>
  <c r="C13" i="66"/>
  <c r="O11" i="66"/>
  <c r="J37" i="65"/>
  <c r="AI16" i="66"/>
  <c r="AE16" i="66"/>
  <c r="AF16" i="66"/>
  <c r="AH16" i="66"/>
  <c r="E37" i="67"/>
  <c r="L74" i="67"/>
  <c r="P79" i="67"/>
  <c r="P80" i="67"/>
  <c r="N28" i="66"/>
  <c r="P16" i="66"/>
  <c r="P37" i="67"/>
  <c r="N37" i="67"/>
  <c r="X37" i="67" s="1"/>
  <c r="K34" i="66"/>
  <c r="O34" i="66"/>
  <c r="N34" i="66"/>
  <c r="M34" i="66"/>
  <c r="L34" i="66"/>
  <c r="L37" i="67"/>
  <c r="G28" i="66"/>
  <c r="G34" i="66"/>
  <c r="K37" i="67"/>
  <c r="I37" i="67"/>
  <c r="H37" i="67"/>
  <c r="F37" i="67"/>
  <c r="Q13" i="66"/>
  <c r="T16" i="66"/>
  <c r="F34" i="66"/>
  <c r="E34" i="66"/>
  <c r="P34" i="66"/>
  <c r="R14" i="67"/>
  <c r="X14" i="67"/>
  <c r="AB14" i="67"/>
  <c r="S17" i="67"/>
  <c r="I16" i="68" s="1"/>
  <c r="J16" i="68" s="1"/>
  <c r="J37" i="67"/>
  <c r="J70" i="67"/>
  <c r="Z13" i="66"/>
  <c r="AD13" i="66"/>
  <c r="AI13" i="66"/>
  <c r="AF14" i="66"/>
  <c r="AF15" i="66"/>
  <c r="Z19" i="66"/>
  <c r="AA19" i="66" s="1"/>
  <c r="H28" i="66"/>
  <c r="Z11" i="66"/>
  <c r="H30" i="66"/>
  <c r="Z17" i="67"/>
  <c r="AD17" i="67"/>
  <c r="AB30" i="66"/>
  <c r="AC30" i="66" s="1"/>
  <c r="W12" i="67"/>
  <c r="Z14" i="67"/>
  <c r="AD14" i="67"/>
  <c r="R17" i="67"/>
  <c r="AA27" i="66"/>
  <c r="AC17" i="66"/>
  <c r="AA17" i="66"/>
  <c r="AC20" i="66"/>
  <c r="AC26" i="66"/>
  <c r="AC21" i="66"/>
  <c r="AC27" i="66"/>
  <c r="AA21" i="66"/>
  <c r="AA24" i="66"/>
  <c r="AA18" i="66"/>
  <c r="AA23" i="66"/>
  <c r="AC24" i="66"/>
  <c r="AA26" i="66"/>
  <c r="AA20" i="66"/>
  <c r="AC18" i="66"/>
  <c r="AC23" i="66"/>
  <c r="AC25" i="66"/>
  <c r="X25" i="66" s="1"/>
  <c r="AA25" i="66"/>
  <c r="AA15" i="66"/>
  <c r="AA22" i="66"/>
  <c r="X12" i="67"/>
  <c r="Q28" i="66"/>
  <c r="Q34" i="66"/>
  <c r="AA13" i="66"/>
  <c r="I16" i="66"/>
  <c r="J16" i="66" s="1"/>
  <c r="AC14" i="66"/>
  <c r="AE13" i="66"/>
  <c r="AF13" i="66"/>
  <c r="T17" i="67"/>
  <c r="AC15" i="66"/>
  <c r="R29" i="67"/>
  <c r="AA14" i="66"/>
  <c r="AB33" i="66"/>
  <c r="AD33" i="66" s="1"/>
  <c r="S14" i="67"/>
  <c r="I13" i="68" s="1"/>
  <c r="G29" i="67"/>
  <c r="G37" i="67" s="1"/>
  <c r="H33" i="66"/>
  <c r="Z30" i="66"/>
  <c r="Z33" i="66" s="1"/>
  <c r="AA53" i="66" s="1"/>
  <c r="AH13" i="66"/>
  <c r="H34" i="66"/>
  <c r="Z8" i="66"/>
  <c r="Z29" i="66"/>
  <c r="AA32" i="66"/>
  <c r="AC32" i="66"/>
  <c r="X32" i="66"/>
  <c r="F234" i="43"/>
  <c r="F13" i="43"/>
  <c r="B3" i="43"/>
  <c r="B4" i="43"/>
  <c r="B5" i="43"/>
  <c r="B6" i="43"/>
  <c r="B7" i="43"/>
  <c r="B8" i="43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B105" i="43"/>
  <c r="B106" i="43"/>
  <c r="B107" i="43"/>
  <c r="B108" i="43"/>
  <c r="B109" i="43"/>
  <c r="B110" i="43"/>
  <c r="B111" i="43"/>
  <c r="B112" i="43"/>
  <c r="B113" i="43"/>
  <c r="B114" i="43"/>
  <c r="B115" i="43"/>
  <c r="B116" i="43"/>
  <c r="B117" i="43"/>
  <c r="B118" i="43"/>
  <c r="B119" i="43"/>
  <c r="B120" i="43"/>
  <c r="B121" i="43"/>
  <c r="B122" i="43"/>
  <c r="B123" i="43"/>
  <c r="B124" i="43"/>
  <c r="B125" i="43"/>
  <c r="B126" i="43"/>
  <c r="B127" i="43"/>
  <c r="B128" i="43"/>
  <c r="B129" i="43"/>
  <c r="B130" i="43"/>
  <c r="B131" i="43"/>
  <c r="B132" i="43"/>
  <c r="B133" i="43"/>
  <c r="B134" i="43"/>
  <c r="B135" i="43"/>
  <c r="B136" i="43"/>
  <c r="B137" i="43"/>
  <c r="B138" i="43"/>
  <c r="B139" i="43"/>
  <c r="B140" i="43"/>
  <c r="B141" i="43"/>
  <c r="B142" i="43"/>
  <c r="B143" i="43"/>
  <c r="B144" i="43"/>
  <c r="B145" i="43"/>
  <c r="B146" i="43"/>
  <c r="B147" i="43"/>
  <c r="B148" i="43"/>
  <c r="B149" i="43"/>
  <c r="B150" i="43"/>
  <c r="B151" i="43"/>
  <c r="B152" i="43"/>
  <c r="B153" i="43"/>
  <c r="B154" i="43"/>
  <c r="B155" i="43"/>
  <c r="B156" i="43"/>
  <c r="B157" i="43"/>
  <c r="B158" i="43"/>
  <c r="B159" i="43"/>
  <c r="B160" i="43"/>
  <c r="B161" i="43"/>
  <c r="B162" i="43"/>
  <c r="B163" i="43"/>
  <c r="B164" i="43"/>
  <c r="B165" i="43"/>
  <c r="B166" i="43"/>
  <c r="B167" i="43"/>
  <c r="B168" i="43"/>
  <c r="B169" i="43"/>
  <c r="B170" i="43"/>
  <c r="B171" i="43"/>
  <c r="B172" i="43"/>
  <c r="B173" i="43"/>
  <c r="B174" i="43"/>
  <c r="B175" i="43"/>
  <c r="B176" i="43"/>
  <c r="B177" i="43"/>
  <c r="B178" i="43"/>
  <c r="B179" i="43"/>
  <c r="B180" i="43"/>
  <c r="B181" i="43"/>
  <c r="B182" i="43"/>
  <c r="B183" i="43"/>
  <c r="B184" i="43"/>
  <c r="B185" i="43"/>
  <c r="B186" i="43"/>
  <c r="B187" i="43"/>
  <c r="B188" i="43"/>
  <c r="B189" i="43"/>
  <c r="B190" i="43"/>
  <c r="B191" i="43"/>
  <c r="B192" i="43"/>
  <c r="B193" i="43"/>
  <c r="B194" i="43"/>
  <c r="B195" i="43"/>
  <c r="B196" i="43"/>
  <c r="B197" i="43"/>
  <c r="B198" i="43"/>
  <c r="B199" i="43"/>
  <c r="B200" i="43"/>
  <c r="B201" i="43"/>
  <c r="B202" i="43"/>
  <c r="B203" i="43"/>
  <c r="B204" i="43"/>
  <c r="B205" i="43"/>
  <c r="B206" i="43"/>
  <c r="B207" i="43"/>
  <c r="B208" i="43"/>
  <c r="B209" i="43"/>
  <c r="B210" i="43"/>
  <c r="B211" i="43"/>
  <c r="B212" i="43"/>
  <c r="B213" i="43"/>
  <c r="B214" i="43"/>
  <c r="B215" i="43"/>
  <c r="B216" i="43"/>
  <c r="B217" i="43"/>
  <c r="B218" i="43"/>
  <c r="B219" i="43"/>
  <c r="B220" i="43"/>
  <c r="B221" i="43"/>
  <c r="B222" i="43"/>
  <c r="B223" i="43"/>
  <c r="B224" i="43"/>
  <c r="B225" i="43"/>
  <c r="B226" i="43"/>
  <c r="B227" i="43"/>
  <c r="B228" i="43"/>
  <c r="B229" i="43"/>
  <c r="B230" i="43"/>
  <c r="B231" i="43"/>
  <c r="B232" i="43"/>
  <c r="B233" i="43"/>
  <c r="B234" i="43"/>
  <c r="B235" i="43"/>
  <c r="B236" i="43"/>
  <c r="B237" i="43"/>
  <c r="B238" i="43"/>
  <c r="B239" i="43"/>
  <c r="B240" i="43"/>
  <c r="B241" i="43"/>
  <c r="B242" i="43"/>
  <c r="B243" i="43"/>
  <c r="B244" i="43"/>
  <c r="B245" i="43"/>
  <c r="B246" i="43"/>
  <c r="B247" i="43"/>
  <c r="B248" i="43"/>
  <c r="B249" i="43"/>
  <c r="B250" i="43"/>
  <c r="B251" i="43"/>
  <c r="B252" i="43"/>
  <c r="B253" i="43"/>
  <c r="B254" i="43"/>
  <c r="B255" i="43"/>
  <c r="B256" i="43"/>
  <c r="B257" i="43"/>
  <c r="B258" i="43"/>
  <c r="B259" i="43"/>
  <c r="B260" i="43"/>
  <c r="B261" i="43"/>
  <c r="B262" i="43"/>
  <c r="B263" i="43"/>
  <c r="B264" i="43"/>
  <c r="B265" i="43"/>
  <c r="B266" i="43"/>
  <c r="B267" i="43"/>
  <c r="B268" i="43"/>
  <c r="B269" i="43"/>
  <c r="B270" i="43"/>
  <c r="B271" i="43"/>
  <c r="B272" i="43"/>
  <c r="B273" i="43"/>
  <c r="B274" i="43"/>
  <c r="B275" i="43"/>
  <c r="B276" i="43"/>
  <c r="B277" i="43"/>
  <c r="B278" i="43"/>
  <c r="B279" i="43"/>
  <c r="B280" i="43"/>
  <c r="B281" i="43"/>
  <c r="B282" i="43"/>
  <c r="B283" i="43"/>
  <c r="B284" i="43"/>
  <c r="B285" i="43"/>
  <c r="B286" i="43"/>
  <c r="B287" i="43"/>
  <c r="B288" i="43"/>
  <c r="B289" i="43"/>
  <c r="B290" i="43"/>
  <c r="B291" i="43"/>
  <c r="B292" i="43"/>
  <c r="B293" i="43"/>
  <c r="B294" i="43"/>
  <c r="B295" i="43"/>
  <c r="B296" i="43"/>
  <c r="B297" i="43"/>
  <c r="B298" i="43"/>
  <c r="B299" i="43"/>
  <c r="B300" i="43"/>
  <c r="B301" i="43"/>
  <c r="B302" i="43"/>
  <c r="B303" i="43"/>
  <c r="B304" i="43"/>
  <c r="B305" i="43"/>
  <c r="B306" i="43"/>
  <c r="B307" i="43"/>
  <c r="B308" i="43"/>
  <c r="B309" i="43"/>
  <c r="B310" i="43"/>
  <c r="B311" i="43"/>
  <c r="B312" i="43"/>
  <c r="B313" i="43"/>
  <c r="B314" i="43"/>
  <c r="B315" i="43"/>
  <c r="B316" i="43"/>
  <c r="B317" i="43"/>
  <c r="B318" i="43"/>
  <c r="B319" i="43"/>
  <c r="B320" i="43"/>
  <c r="B321" i="43"/>
  <c r="B322" i="43"/>
  <c r="B323" i="43"/>
  <c r="B324" i="43"/>
  <c r="B325" i="43"/>
  <c r="B326" i="43"/>
  <c r="B327" i="43"/>
  <c r="B328" i="43"/>
  <c r="B329" i="43"/>
  <c r="B330" i="43"/>
  <c r="B331" i="43"/>
  <c r="B332" i="43"/>
  <c r="B333" i="43"/>
  <c r="B334" i="43"/>
  <c r="B335" i="43"/>
  <c r="B336" i="43"/>
  <c r="B337" i="43"/>
  <c r="B338" i="43"/>
  <c r="B339" i="43"/>
  <c r="B340" i="43"/>
  <c r="B341" i="43"/>
  <c r="B342" i="43"/>
  <c r="B343" i="43"/>
  <c r="B344" i="43"/>
  <c r="B345" i="43"/>
  <c r="B346" i="43"/>
  <c r="B347" i="43"/>
  <c r="V34" i="67" l="1"/>
  <c r="R70" i="67"/>
  <c r="T33" i="67"/>
  <c r="S70" i="67"/>
  <c r="S71" i="67" s="1"/>
  <c r="U33" i="67"/>
  <c r="Q68" i="67"/>
  <c r="I30" i="66"/>
  <c r="J30" i="66" s="1"/>
  <c r="Q69" i="67"/>
  <c r="I22" i="66"/>
  <c r="J22" i="66" s="1"/>
  <c r="U17" i="67"/>
  <c r="J20" i="53"/>
  <c r="D20" i="53"/>
  <c r="S36" i="67"/>
  <c r="U36" i="67" s="1"/>
  <c r="I32" i="68"/>
  <c r="P41" i="67"/>
  <c r="P42" i="67" s="1"/>
  <c r="T35" i="67"/>
  <c r="T36" i="67" s="1"/>
  <c r="I32" i="66"/>
  <c r="AC33" i="66"/>
  <c r="X30" i="66"/>
  <c r="AA30" i="66"/>
  <c r="AA33" i="66" s="1"/>
  <c r="U33" i="66" s="1"/>
  <c r="Z28" i="66"/>
  <c r="Z34" i="66" s="1"/>
  <c r="AA35" i="66" s="1"/>
  <c r="AA16" i="66"/>
  <c r="AA28" i="66" s="1"/>
  <c r="U28" i="66" s="1"/>
  <c r="X13" i="66"/>
  <c r="X28" i="66" s="1"/>
  <c r="AC28" i="66"/>
  <c r="V28" i="66" s="1"/>
  <c r="AB28" i="66"/>
  <c r="AB34" i="66" s="1"/>
  <c r="T13" i="66"/>
  <c r="T28" i="66"/>
  <c r="T34" i="66" s="1"/>
  <c r="G20" i="53"/>
  <c r="M20" i="53"/>
  <c r="D49" i="66"/>
  <c r="D50" i="66" s="1"/>
  <c r="U26" i="67"/>
  <c r="I25" i="66"/>
  <c r="J25" i="66" s="1"/>
  <c r="T26" i="67"/>
  <c r="T23" i="67"/>
  <c r="U23" i="67"/>
  <c r="T20" i="67"/>
  <c r="U20" i="67"/>
  <c r="I19" i="66"/>
  <c r="J19" i="66" s="1"/>
  <c r="I28" i="68"/>
  <c r="J13" i="68"/>
  <c r="I13" i="66"/>
  <c r="T14" i="67"/>
  <c r="S29" i="67"/>
  <c r="U14" i="67"/>
  <c r="C18" i="64"/>
  <c r="C8" i="64"/>
  <c r="Q70" i="67" l="1"/>
  <c r="Q72" i="67" s="1"/>
  <c r="Q77" i="67" s="1"/>
  <c r="I33" i="68"/>
  <c r="I37" i="68" s="1"/>
  <c r="J32" i="68"/>
  <c r="I33" i="66"/>
  <c r="J32" i="66"/>
  <c r="V33" i="66"/>
  <c r="W33" i="66" s="1"/>
  <c r="X33" i="66"/>
  <c r="AA34" i="66"/>
  <c r="U34" i="66" s="1"/>
  <c r="W28" i="66"/>
  <c r="AC34" i="66"/>
  <c r="AD34" i="66"/>
  <c r="AC35" i="66"/>
  <c r="W26" i="67"/>
  <c r="V26" i="67"/>
  <c r="X26" i="67" s="1"/>
  <c r="W23" i="67"/>
  <c r="V23" i="67"/>
  <c r="X23" i="67" s="1"/>
  <c r="V20" i="67"/>
  <c r="X20" i="67" s="1"/>
  <c r="W20" i="67"/>
  <c r="T29" i="67"/>
  <c r="T37" i="67" s="1"/>
  <c r="U29" i="67"/>
  <c r="S37" i="67"/>
  <c r="U37" i="67" s="1"/>
  <c r="I28" i="66"/>
  <c r="J13" i="66"/>
  <c r="J28" i="68"/>
  <c r="C19" i="64"/>
  <c r="E19" i="64" s="1"/>
  <c r="I67" i="66" l="1"/>
  <c r="J33" i="66"/>
  <c r="I70" i="68"/>
  <c r="J33" i="68"/>
  <c r="X34" i="66"/>
  <c r="V34" i="66"/>
  <c r="W34" i="66" s="1"/>
  <c r="X42" i="68"/>
  <c r="J37" i="68"/>
  <c r="I57" i="68"/>
  <c r="G95" i="68"/>
  <c r="I34" i="66"/>
  <c r="J28" i="66"/>
  <c r="G92" i="66" l="1"/>
  <c r="J34" i="66"/>
  <c r="I54" i="66"/>
</calcChain>
</file>

<file path=xl/comments1.xml><?xml version="1.0" encoding="utf-8"?>
<comments xmlns="http://schemas.openxmlformats.org/spreadsheetml/2006/main">
  <authors>
    <author>HP</author>
  </authors>
  <commentList>
    <comment ref="J37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<sst xmlns="http://schemas.openxmlformats.org/spreadsheetml/2006/main" count="309" uniqueCount="175">
  <si>
    <t>NO</t>
  </si>
  <si>
    <t>Uraian Kegiatan</t>
  </si>
  <si>
    <t>Renc.</t>
  </si>
  <si>
    <t>Real</t>
  </si>
  <si>
    <t>Dev.</t>
  </si>
  <si>
    <t>Kontraktor</t>
  </si>
  <si>
    <t>Konsultan</t>
  </si>
  <si>
    <t xml:space="preserve"> Jumlah Total</t>
  </si>
  <si>
    <t xml:space="preserve"> REHABILITASI, PEMEL. BERKALA,  BMW &amp; RM</t>
  </si>
  <si>
    <t>Paket</t>
  </si>
  <si>
    <t>Rembiga - Pemenang - Tanjung - Bayan - Ds. Biluk - Sambelia - Lab. Lombok</t>
  </si>
  <si>
    <t>Simpang Kempo - Simpang Kore; Tawali - Sape; Karumbu - Sape</t>
  </si>
  <si>
    <t xml:space="preserve"> Jumlah II</t>
  </si>
  <si>
    <t xml:space="preserve"> Jumlah I</t>
  </si>
  <si>
    <t>I</t>
  </si>
  <si>
    <t>II</t>
  </si>
  <si>
    <t>R u a s</t>
  </si>
  <si>
    <t>Masa Pelaksanaan (HK)</t>
  </si>
  <si>
    <t>DPA</t>
  </si>
  <si>
    <t>Bobot (%)</t>
  </si>
  <si>
    <t>No.</t>
  </si>
  <si>
    <t>PHO</t>
  </si>
  <si>
    <t xml:space="preserve">Realisasi Fisik thd Kontrak </t>
  </si>
  <si>
    <t>Realisasi Fisik (DPA)</t>
  </si>
  <si>
    <t>Sisa DPA</t>
  </si>
  <si>
    <t>Rp.</t>
  </si>
  <si>
    <t>%</t>
  </si>
  <si>
    <t>Nilai Uang sisa setara Fisik</t>
  </si>
  <si>
    <t>Ket.</t>
  </si>
  <si>
    <t xml:space="preserve"> SWAKELOLA</t>
  </si>
  <si>
    <t xml:space="preserve"> Balai Pemel. Jalan P. Lombok</t>
  </si>
  <si>
    <t xml:space="preserve"> Jumlah III</t>
  </si>
  <si>
    <t xml:space="preserve"> Jumlah Total (I+II+III)</t>
  </si>
  <si>
    <t>Uang Muka</t>
  </si>
  <si>
    <t>MC 01</t>
  </si>
  <si>
    <t>MC 02</t>
  </si>
  <si>
    <t>MC 03</t>
  </si>
  <si>
    <t>MC 04</t>
  </si>
  <si>
    <t>MC 05</t>
  </si>
  <si>
    <t>MC 06</t>
  </si>
  <si>
    <t>MC 07</t>
  </si>
  <si>
    <t>MC 08</t>
  </si>
  <si>
    <t>Realisasi Anggaran PRIM</t>
  </si>
  <si>
    <t>Bobot thd nilai Kontrak</t>
  </si>
  <si>
    <t>Nilai Retensi (Jaminan Pemliharaan) = 5% x Kontrak)</t>
  </si>
  <si>
    <t>=</t>
  </si>
  <si>
    <t xml:space="preserve"> Realisasi Keuangan (Rp.)</t>
  </si>
  <si>
    <t>Realisasi Fisik</t>
  </si>
  <si>
    <t>Alokasi Anggaran       (DPA 2015)</t>
  </si>
  <si>
    <t>Sisa Anggaran / Kontrak</t>
  </si>
  <si>
    <t>Total Realisasi Anggaran sesuai nilai Kontrak</t>
  </si>
  <si>
    <t>Realisasi Keuangan</t>
  </si>
  <si>
    <t>Realisasi MC</t>
  </si>
  <si>
    <t>S P 2 D</t>
  </si>
  <si>
    <t>Februari</t>
  </si>
  <si>
    <t>Maret</t>
  </si>
  <si>
    <t>April</t>
  </si>
  <si>
    <t>Mei</t>
  </si>
  <si>
    <t>Juli</t>
  </si>
  <si>
    <t>Agustus</t>
  </si>
  <si>
    <t>September</t>
  </si>
  <si>
    <t>Oktober</t>
  </si>
  <si>
    <t>November</t>
  </si>
  <si>
    <t>Alokasi         Anggaran</t>
  </si>
  <si>
    <t>Sisa             Anggaran</t>
  </si>
  <si>
    <t>RENCANA</t>
  </si>
  <si>
    <t>REALISASI</t>
  </si>
  <si>
    <t>Panjang Penanganan (Km)</t>
  </si>
  <si>
    <t>Eff</t>
  </si>
  <si>
    <t>Fungs</t>
  </si>
  <si>
    <t>Jumlah II</t>
  </si>
  <si>
    <t>Panjang  Penanganan (Km)</t>
  </si>
  <si>
    <t>Effektif</t>
  </si>
  <si>
    <t>Juni</t>
  </si>
  <si>
    <t>Jumlah Komulatif SP2D</t>
  </si>
  <si>
    <t>Nama Ruas</t>
  </si>
  <si>
    <t>MC 09</t>
  </si>
  <si>
    <t>Real Keuangan (%)</t>
  </si>
  <si>
    <t>Realisasi Fisik terhadap Keuangan Komulatif</t>
  </si>
  <si>
    <t xml:space="preserve">Status </t>
  </si>
  <si>
    <t>:</t>
  </si>
  <si>
    <t>Jumlah Total (I+II)</t>
  </si>
  <si>
    <t>Sisa Lelang</t>
  </si>
  <si>
    <t>(Rp.)</t>
  </si>
  <si>
    <t>Total Kontrak</t>
  </si>
  <si>
    <t>Kontrak</t>
  </si>
  <si>
    <t>Alokasi Anggaran (Rp.)</t>
  </si>
  <si>
    <t>DPA 2017</t>
  </si>
  <si>
    <t xml:space="preserve">Nilai Kontrak </t>
  </si>
  <si>
    <t>Total MC</t>
  </si>
  <si>
    <t>December</t>
  </si>
  <si>
    <t>Jumlah</t>
  </si>
  <si>
    <t>BIDANG BINA MARGA DINAS PEKERJAAN UMUM DAN PENATAAN RUANG KABUPATEN LOMBOK BARAT</t>
  </si>
  <si>
    <t>BIDANG BINA MARGA DINAS PEKERJAAN UMUM DAN PENATAAN RUANG KBUPATEN LOMBOK BARAT</t>
  </si>
  <si>
    <t>DPUTR Lobar</t>
  </si>
  <si>
    <t>Schedule Rencana masing2 paket s/d Ahir Desember 2017</t>
  </si>
  <si>
    <t>No./Tanggal Kontrak Dan No. Addendum Kontrak</t>
  </si>
  <si>
    <t xml:space="preserve">Catatan : </t>
  </si>
  <si>
    <t xml:space="preserve"> 3. Surat Perintah Pencairan Dana (SP2D) Tanggal 15 Nopember 2017</t>
  </si>
  <si>
    <t xml:space="preserve"> 2. Surat Perinttah Membayar (SPM) tanggal 13 Nopember 2017</t>
  </si>
  <si>
    <t xml:space="preserve"> 1. Surat Permintaan Pembayaran (SPP) tanggal 25 Oktober 2017</t>
  </si>
  <si>
    <t>-</t>
  </si>
  <si>
    <t>PT. KESAWA KARYA ABADI</t>
  </si>
  <si>
    <t>PT. KARYA TAMANUSA</t>
  </si>
  <si>
    <t>Kepala Bidang Bina Marga Dinas Pekerjaan Umum dan Penataan Ruang Kabupaten Lombok Barat</t>
  </si>
  <si>
    <t>H. AKHMAD HAMBALI, ST</t>
  </si>
  <si>
    <t>Nip. 19620405 198503 1 027</t>
  </si>
  <si>
    <t>P 6</t>
  </si>
  <si>
    <t>Paket VI (Enam) Rehabilitasi/Pemeliharaan Berkala Ruas Jalan (022) Meninting - Midang, Rm + BMW 10 Ruas (DANA PRIM)</t>
  </si>
  <si>
    <t>PT. FIMA KENCANA KERTHASARI</t>
  </si>
  <si>
    <t>CV. ARCHI TEKNIK</t>
  </si>
  <si>
    <t>Penu jukan Penyedia Barang/Jasa</t>
  </si>
  <si>
    <t>Paket VII (tujuh) Rehabilitasi/Pemeliharaan Berkala Ruas Jalan (042) Dasan Geres - Buntage, RM + BMW 8 Ruas (Dana PRIM)</t>
  </si>
  <si>
    <t>P 7</t>
  </si>
  <si>
    <t>CV. CITRA ADI DAYA CONSULTAN</t>
  </si>
  <si>
    <t>Paket VIII (delapan) Rehabilitasi/Pemeliharaan Berkala Ruas Jalan (026) Dasan Tereng - Sembung, RM + BMW 5 Ruas (Dana PRIM)</t>
  </si>
  <si>
    <t>P 8</t>
  </si>
  <si>
    <t>P9</t>
  </si>
  <si>
    <t>Paket IX (sembilan) Rehabilitasi/Pemeliharaan Berkala Ruas Jalan (011) Gerung - Bantir, RM + BMW 5 Ruas (Dana PRIM)</t>
  </si>
  <si>
    <t>CV. PUTRA LOMBOK</t>
  </si>
  <si>
    <t>P 10</t>
  </si>
  <si>
    <t>Paket X (sepuluh) Rehabilitasi/Pemeliharaan Berkala Ruas Jalan (057) Keru - Suranadi, RM + BMW 7 Ruas (Dana PRIM)</t>
  </si>
  <si>
    <t>PT. NIAT KARYA</t>
  </si>
  <si>
    <t>E-KATALOG</t>
  </si>
  <si>
    <t>SWAKELOLA</t>
  </si>
  <si>
    <r>
      <t xml:space="preserve">PENANGANAN JALAN KABUPATEN </t>
    </r>
    <r>
      <rPr>
        <sz val="18"/>
        <rFont val="Brush Script MT"/>
        <family val="4"/>
      </rPr>
      <t>dengan</t>
    </r>
    <r>
      <rPr>
        <sz val="16"/>
        <rFont val="Bodoni MT Black"/>
        <family val="1"/>
      </rPr>
      <t xml:space="preserve"> PROGRAM PRIM KIAT</t>
    </r>
  </si>
  <si>
    <t>TAHUN ANGGARAN 2019</t>
  </si>
  <si>
    <t>REALISASI KEUANGAN PEMELIHARAAN JALAN KABUPATEN dengan PROGRAM PRIM EXT. PHASE III</t>
  </si>
  <si>
    <t>REALISASI FISIK &amp; KEUANGAN PEMEL. JALAN KABUPATEN dengan PROGRAM PRIM KIAT</t>
  </si>
  <si>
    <t>DPA 2019</t>
  </si>
  <si>
    <t>027/12/PPK-RHB.PEMEL.PRIM/BM/03/2019</t>
  </si>
  <si>
    <t>027/95/PPK-RHB.PEMEL.PRIM/BM/03/2019</t>
  </si>
  <si>
    <t>027/96/PPK-RHB.PEMEL.PRIM/BM/03/2019</t>
  </si>
  <si>
    <t>027/13/PPK-RHB.PEMEL.PRIM/BM/03/2019</t>
  </si>
  <si>
    <t>027/14/PPK-RHB.PEMEL.PRIM/BM/03/2019</t>
  </si>
  <si>
    <t>027/97/PPK-RHB.PEMEL.PRIM/BM/03/2019</t>
  </si>
  <si>
    <t>027/98/PPK-RHB.PEMEL.PRIM/BM/03/2019</t>
  </si>
  <si>
    <t>027/15/PPK-RHB.PEMEL.PRIM/BM/03/2019</t>
  </si>
  <si>
    <t>027/99/PPK-RHB.PEMEL.PRIM/BM/03/2019</t>
  </si>
  <si>
    <t>027/16/PPK-RHB.PEMEL.PRIM/BM/03/2019</t>
  </si>
  <si>
    <t>25 Februari 2019</t>
  </si>
  <si>
    <t>1 April 2019</t>
  </si>
  <si>
    <t>RUMIJA</t>
  </si>
  <si>
    <t>BOHARI</t>
  </si>
  <si>
    <t>SALURAN</t>
  </si>
  <si>
    <t>GORONG</t>
  </si>
  <si>
    <t>JBT</t>
  </si>
  <si>
    <t>MINAR</t>
  </si>
  <si>
    <t>BELEKA</t>
  </si>
  <si>
    <t>EAT GANJAR</t>
  </si>
  <si>
    <t>GELOGOR</t>
  </si>
  <si>
    <t>DASAN BARU</t>
  </si>
  <si>
    <t>GUMESE</t>
  </si>
  <si>
    <t>KEBON TALO</t>
  </si>
  <si>
    <t>LD. GARUDA</t>
  </si>
  <si>
    <t xml:space="preserve"> 31 JULI 2019</t>
  </si>
  <si>
    <t>III</t>
  </si>
  <si>
    <t>ISENTIF</t>
  </si>
  <si>
    <t>DAFTAR  KEKURANGAN KELENGKAPAN ALAT</t>
  </si>
  <si>
    <t>No</t>
  </si>
  <si>
    <t>Nama Barang</t>
  </si>
  <si>
    <t>Satuan</t>
  </si>
  <si>
    <t>Penahan accu</t>
  </si>
  <si>
    <t>Kunci dan Brandel mesin</t>
  </si>
  <si>
    <t>Gemuk dan Oli</t>
  </si>
  <si>
    <t>Tol set (kunci)</t>
  </si>
  <si>
    <t>Busa Jok</t>
  </si>
  <si>
    <t>Pelatihan /Trining dan SIM</t>
  </si>
  <si>
    <t>Handle maju dan mundur (butuh kenokan supaya tidak ditahan terus menerus)</t>
  </si>
  <si>
    <t>cerobong knalpot/sambunagnnya</t>
  </si>
  <si>
    <t>set</t>
  </si>
  <si>
    <t>bh</t>
  </si>
  <si>
    <t>1 bh</t>
  </si>
  <si>
    <t>Status :      SEPTEMBER 2019</t>
  </si>
  <si>
    <t xml:space="preserve"> 30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</si>
</sst>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_(* #,##0.0_);_(* \(#,##0.0\);_(* &quot;-&quot;?_);_(@_)"/>
    <numFmt numFmtId="168" formatCode="_(* #,##0_);_(* \(#,##0\);_(* &quot;-&quot;?_);_(@_)"/>
    <numFmt numFmtId="169" formatCode="_-* #,##0_-;\-* #,##0_-;_-* &quot;-&quot;_-;_-@_-"/>
    <numFmt numFmtId="170" formatCode="0.000_)"/>
    <numFmt numFmtId="171" formatCode="_-* #,##0.0000_-;\-* #,##0.0000_-;_-* &quot;-&quot;??_-;_-@_-"/>
    <numFmt numFmtId="172" formatCode="&quot;Yes&quot;;&quot;Yes&quot;;&quot;No&quot;"/>
    <numFmt numFmtId="173" formatCode="d\-mmm\-yyyy"/>
    <numFmt numFmtId="174" formatCode="_(* #,##0.00_);_(* \(#,##0.00\);_(* &quot;-&quot;_);_(@_)"/>
    <numFmt numFmtId="175" formatCode="_-* #,##0.000_-;\-* #,##0.000_-;_-* &quot;-&quot;??_-;_-@_-"/>
    <numFmt numFmtId="176" formatCode="_-* #,##0.00_-;\-* #,##0.00_-;_-* &quot;-&quot;_-;_-@_-"/>
    <numFmt numFmtId="177" formatCode="0.00_)"/>
    <numFmt numFmtId="178" formatCode="\$#,##0\ ;\(\$#,##0\)"/>
    <numFmt numFmtId="179" formatCode="m\o\n\th\ d\,\ yyyy"/>
    <numFmt numFmtId="180" formatCode="#,#00"/>
    <numFmt numFmtId="181" formatCode="#,"/>
    <numFmt numFmtId="182" formatCode="_-* #,##0\ _F_-;\-* #,##0\ _F_-;_-* &quot;-&quot;\ _F_-;_-@_-"/>
    <numFmt numFmtId="183" formatCode="_-* #,##0.00\ _F_-;\-* #,##0.00\ _F_-;_-* &quot;-&quot;??\ _F_-;_-@_-"/>
    <numFmt numFmtId="184" formatCode="_-* #,##0\ &quot;F&quot;_-;\-* #,##0\ &quot;F&quot;_-;_-* &quot;-&quot;\ &quot;F&quot;_-;_-@_-"/>
    <numFmt numFmtId="185" formatCode="_-* #,##0.00\ &quot;F&quot;_-;\-* #,##0.00\ &quot;F&quot;_-;_-* &quot;-&quot;??\ &quot;F&quot;_-;_-@_-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 Rounded MT Bold"/>
      <family val="2"/>
    </font>
    <font>
      <sz val="16"/>
      <name val="Bremen Bd BT"/>
      <family val="5"/>
    </font>
    <font>
      <sz val="11"/>
      <color theme="1"/>
      <name val="Calibri"/>
      <family val="2"/>
      <charset val="1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16"/>
      <name val="Bodoni MT Black"/>
      <family val="1"/>
    </font>
    <font>
      <sz val="18"/>
      <name val="Brush Script MT"/>
      <family val="4"/>
    </font>
    <font>
      <sz val="18"/>
      <name val="Britannic Bold"/>
      <family val="2"/>
    </font>
    <font>
      <i/>
      <sz val="11"/>
      <name val="Times New Roman"/>
      <family val="1"/>
    </font>
    <font>
      <sz val="16"/>
      <name val="Arial Rounded MT Bold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b/>
      <sz val="9"/>
      <name val="Bookman Old Style"/>
      <family val="1"/>
    </font>
    <font>
      <sz val="10"/>
      <color rgb="FF000000"/>
      <name val="Bookman Old Style"/>
      <family val="1"/>
    </font>
    <font>
      <sz val="9"/>
      <color rgb="FF00000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b/>
      <sz val="10"/>
      <color rgb="FF000000"/>
      <name val="Bookman Old Style"/>
      <family val="1"/>
    </font>
    <font>
      <b/>
      <sz val="8"/>
      <color rgb="FF000000"/>
      <name val="Bookman Old Style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name val="AR ESSENCE"/>
    </font>
    <font>
      <sz val="11"/>
      <name val="Arial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</font>
    <font>
      <sz val="11"/>
      <color indexed="8"/>
      <name val="Calibri"/>
      <family val="2"/>
      <charset val="1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12"/>
      <name val="Arial MT"/>
    </font>
    <font>
      <b/>
      <sz val="14"/>
      <color indexed="8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2"/>
      <name val="Courier"/>
      <family val="3"/>
    </font>
    <font>
      <sz val="11"/>
      <name val="Arial Narrow"/>
      <family val="2"/>
    </font>
    <font>
      <sz val="10"/>
      <color indexed="12"/>
      <name val="Century Gothic"/>
      <family val="2"/>
    </font>
    <font>
      <b/>
      <sz val="12"/>
      <name val="SWISS"/>
    </font>
    <font>
      <b/>
      <u/>
      <sz val="10"/>
      <name val="Century Gothic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theme="5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3" tint="0.59999389629810485"/>
      </patternFill>
    </fill>
    <fill>
      <patternFill patternType="solid">
        <fgColor theme="6" tint="0.39997558519241921"/>
        <bgColor indexed="64"/>
      </patternFill>
    </fill>
    <fill>
      <patternFill patternType="gray0625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0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</patternFill>
    </fill>
    <fill>
      <patternFill patternType="solid">
        <fgColor indexed="26"/>
        <bgColor indexed="64"/>
      </patternFill>
    </fill>
    <fill>
      <patternFill patternType="darkHorizontal">
        <fgColor indexed="22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ashed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92">
    <xf numFmtId="0" fontId="0" fillId="0" borderId="0"/>
    <xf numFmtId="43" fontId="4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39" fontId="86" fillId="0" borderId="0"/>
    <xf numFmtId="0" fontId="57" fillId="24" borderId="0"/>
    <xf numFmtId="0" fontId="57" fillId="26" borderId="0"/>
    <xf numFmtId="0" fontId="57" fillId="27" borderId="0"/>
    <xf numFmtId="0" fontId="57" fillId="29" borderId="0"/>
    <xf numFmtId="0" fontId="57" fillId="23" borderId="0"/>
    <xf numFmtId="0" fontId="57" fillId="25" borderId="0"/>
    <xf numFmtId="0" fontId="57" fillId="31" borderId="0"/>
    <xf numFmtId="0" fontId="57" fillId="32" borderId="0"/>
    <xf numFmtId="0" fontId="57" fillId="33" borderId="0"/>
    <xf numFmtId="0" fontId="57" fillId="31" borderId="0"/>
    <xf numFmtId="0" fontId="57" fillId="30" borderId="0"/>
    <xf numFmtId="0" fontId="57" fillId="25" borderId="0"/>
    <xf numFmtId="0" fontId="58" fillId="35" borderId="0"/>
    <xf numFmtId="0" fontId="58" fillId="32" borderId="0"/>
    <xf numFmtId="0" fontId="58" fillId="33" borderId="0"/>
    <xf numFmtId="0" fontId="58" fillId="36" borderId="0"/>
    <xf numFmtId="0" fontId="58" fillId="35" borderId="0"/>
    <xf numFmtId="0" fontId="58" fillId="38" borderId="0"/>
    <xf numFmtId="0" fontId="58" fillId="35" borderId="0"/>
    <xf numFmtId="0" fontId="58" fillId="40" borderId="0"/>
    <xf numFmtId="0" fontId="58" fillId="37" borderId="0"/>
    <xf numFmtId="0" fontId="58" fillId="42" borderId="0"/>
    <xf numFmtId="0" fontId="58" fillId="35" borderId="0"/>
    <xf numFmtId="0" fontId="58" fillId="39" borderId="0"/>
    <xf numFmtId="39" fontId="59" fillId="43" borderId="90" applyNumberFormat="0">
      <alignment horizontal="left" indent="6"/>
    </xf>
    <xf numFmtId="39" fontId="59" fillId="43" borderId="90" applyNumberFormat="0">
      <alignment horizontal="left" indent="6"/>
    </xf>
    <xf numFmtId="39" fontId="59" fillId="43" borderId="90" applyNumberFormat="0">
      <alignment horizontal="left" indent="6"/>
    </xf>
    <xf numFmtId="0" fontId="60" fillId="26" borderId="0"/>
    <xf numFmtId="0" fontId="87" fillId="44" borderId="91">
      <alignment horizontal="center"/>
    </xf>
    <xf numFmtId="0" fontId="61" fillId="45" borderId="92"/>
    <xf numFmtId="0" fontId="61" fillId="45" borderId="92"/>
    <xf numFmtId="0" fontId="61" fillId="45" borderId="92"/>
    <xf numFmtId="0" fontId="61" fillId="45" borderId="92"/>
    <xf numFmtId="0" fontId="62" fillId="41" borderId="93"/>
    <xf numFmtId="43" fontId="54" fillId="0" borderId="0" applyFont="0" applyFill="0" applyBorder="0" applyAlignment="0" applyProtection="0"/>
    <xf numFmtId="170" fontId="63" fillId="0" borderId="0"/>
    <xf numFmtId="170" fontId="63" fillId="0" borderId="0"/>
    <xf numFmtId="170" fontId="63" fillId="0" borderId="0"/>
    <xf numFmtId="170" fontId="63" fillId="0" borderId="0"/>
    <xf numFmtId="170" fontId="63" fillId="0" borderId="0"/>
    <xf numFmtId="170" fontId="63" fillId="0" borderId="0"/>
    <xf numFmtId="170" fontId="63" fillId="0" borderId="0"/>
    <xf numFmtId="170" fontId="63" fillId="0" borderId="0"/>
    <xf numFmtId="41" fontId="5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54" fillId="0" borderId="0"/>
    <xf numFmtId="43" fontId="64" fillId="0" borderId="0" applyFont="0" applyFill="0" applyBorder="0" applyAlignment="0" applyProtection="0"/>
    <xf numFmtId="4" fontId="54" fillId="0" borderId="0"/>
    <xf numFmtId="4" fontId="54" fillId="0" borderId="0"/>
    <xf numFmtId="43" fontId="4" fillId="0" borderId="0" applyFont="0" applyFill="0" applyBorder="0" applyAlignment="0" applyProtection="0"/>
    <xf numFmtId="4" fontId="54" fillId="0" borderId="0"/>
    <xf numFmtId="4" fontId="54" fillId="0" borderId="0"/>
    <xf numFmtId="43" fontId="4" fillId="0" borderId="0" applyFont="0" applyFill="0" applyBorder="0" applyAlignment="0" applyProtection="0"/>
    <xf numFmtId="4" fontId="54" fillId="0" borderId="0"/>
    <xf numFmtId="4" fontId="5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65" fillId="0" borderId="0">
      <protection locked="0"/>
    </xf>
    <xf numFmtId="168" fontId="4" fillId="0" borderId="0">
      <protection locked="0"/>
    </xf>
    <xf numFmtId="168" fontId="4" fillId="0" borderId="0">
      <protection locked="0"/>
    </xf>
    <xf numFmtId="168" fontId="4" fillId="0" borderId="0">
      <protection locked="0"/>
    </xf>
    <xf numFmtId="168" fontId="4" fillId="0" borderId="0">
      <protection locked="0"/>
    </xf>
    <xf numFmtId="0" fontId="66" fillId="0" borderId="0"/>
    <xf numFmtId="0" fontId="88" fillId="43" borderId="0">
      <alignment horizontal="center"/>
      <protection hidden="1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180" fontId="65" fillId="0" borderId="0">
      <protection locked="0"/>
    </xf>
    <xf numFmtId="164" fontId="4" fillId="0" borderId="0">
      <protection locked="0"/>
    </xf>
    <xf numFmtId="164" fontId="4" fillId="0" borderId="0">
      <protection locked="0"/>
    </xf>
    <xf numFmtId="164" fontId="4" fillId="0" borderId="0">
      <protection locked="0"/>
    </xf>
    <xf numFmtId="164" fontId="4" fillId="0" borderId="0">
      <protection locked="0"/>
    </xf>
    <xf numFmtId="0" fontId="67" fillId="27" borderId="0"/>
    <xf numFmtId="38" fontId="55" fillId="3" borderId="0" applyNumberFormat="0" applyBorder="0" applyAlignment="0" applyProtection="0"/>
    <xf numFmtId="0" fontId="35" fillId="0" borderId="94" applyNumberFormat="0" applyAlignment="0" applyProtection="0">
      <alignment horizontal="left" vertical="center"/>
    </xf>
    <xf numFmtId="0" fontId="35" fillId="0" borderId="39">
      <alignment horizontal="left" vertical="center"/>
    </xf>
    <xf numFmtId="0" fontId="68" fillId="0" borderId="95"/>
    <xf numFmtId="0" fontId="69" fillId="0" borderId="96"/>
    <xf numFmtId="0" fontId="70" fillId="0" borderId="97"/>
    <xf numFmtId="0" fontId="70" fillId="0" borderId="97"/>
    <xf numFmtId="0" fontId="70" fillId="0" borderId="0"/>
    <xf numFmtId="181" fontId="71" fillId="0" borderId="0">
      <protection locked="0"/>
    </xf>
    <xf numFmtId="0" fontId="72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81" fontId="71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167" fontId="4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0" fontId="55" fillId="46" borderId="4" applyNumberFormat="0" applyBorder="0" applyAlignment="0" applyProtection="0"/>
    <xf numFmtId="10" fontId="55" fillId="46" borderId="4" applyNumberFormat="0" applyBorder="0" applyAlignment="0" applyProtection="0"/>
    <xf numFmtId="10" fontId="55" fillId="46" borderId="4" applyNumberFormat="0" applyBorder="0" applyAlignment="0" applyProtection="0"/>
    <xf numFmtId="0" fontId="74" fillId="25" borderId="92"/>
    <xf numFmtId="0" fontId="74" fillId="25" borderId="92"/>
    <xf numFmtId="0" fontId="74" fillId="25" borderId="92"/>
    <xf numFmtId="0" fontId="74" fillId="25" borderId="92"/>
    <xf numFmtId="0" fontId="75" fillId="0" borderId="98"/>
    <xf numFmtId="0" fontId="75" fillId="0" borderId="98"/>
    <xf numFmtId="0" fontId="75" fillId="0" borderId="98"/>
    <xf numFmtId="0" fontId="75" fillId="0" borderId="98"/>
    <xf numFmtId="39" fontId="89" fillId="0" borderId="99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6" fillId="34" borderId="0"/>
    <xf numFmtId="37" fontId="77" fillId="0" borderId="0"/>
    <xf numFmtId="177" fontId="7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" fontId="80" fillId="0" borderId="4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45" fillId="0" borderId="0"/>
    <xf numFmtId="0" fontId="4" fillId="0" borderId="0"/>
    <xf numFmtId="0" fontId="1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40" fontId="13" fillId="0" borderId="0"/>
    <xf numFmtId="40" fontId="13" fillId="0" borderId="0"/>
    <xf numFmtId="0" fontId="4" fillId="0" borderId="0"/>
    <xf numFmtId="0" fontId="4" fillId="0" borderId="0"/>
    <xf numFmtId="40" fontId="13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92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57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81" fillId="47" borderId="100" applyBorder="0">
      <alignment horizontal="center" vertical="justify"/>
    </xf>
    <xf numFmtId="0" fontId="81" fillId="47" borderId="100" applyBorder="0">
      <alignment horizontal="center" vertical="justify"/>
    </xf>
    <xf numFmtId="0" fontId="81" fillId="47" borderId="100" applyBorder="0">
      <alignment horizontal="center" vertical="justify"/>
    </xf>
    <xf numFmtId="0" fontId="54" fillId="28" borderId="101"/>
    <xf numFmtId="0" fontId="54" fillId="28" borderId="101"/>
    <xf numFmtId="0" fontId="54" fillId="28" borderId="101"/>
    <xf numFmtId="0" fontId="54" fillId="28" borderId="101"/>
    <xf numFmtId="0" fontId="82" fillId="45" borderId="102"/>
    <xf numFmtId="0" fontId="82" fillId="45" borderId="102"/>
    <xf numFmtId="0" fontId="82" fillId="45" borderId="102"/>
    <xf numFmtId="0" fontId="82" fillId="45" borderId="102"/>
    <xf numFmtId="39" fontId="83" fillId="43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7" fillId="44" borderId="91">
      <alignment horizontal="center"/>
    </xf>
    <xf numFmtId="39" fontId="89" fillId="0" borderId="99"/>
    <xf numFmtId="0" fontId="4" fillId="0" borderId="0"/>
    <xf numFmtId="0" fontId="41" fillId="0" borderId="39" applyBorder="0">
      <alignment horizontal="center" vertical="center"/>
    </xf>
    <xf numFmtId="0" fontId="90" fillId="0" borderId="0"/>
    <xf numFmtId="0" fontId="84" fillId="0" borderId="0"/>
    <xf numFmtId="0" fontId="82" fillId="0" borderId="103"/>
    <xf numFmtId="0" fontId="82" fillId="0" borderId="103"/>
    <xf numFmtId="0" fontId="82" fillId="0" borderId="103"/>
    <xf numFmtId="167" fontId="4" fillId="0" borderId="104">
      <protection locked="0"/>
    </xf>
    <xf numFmtId="167" fontId="4" fillId="0" borderId="104">
      <protection locked="0"/>
    </xf>
    <xf numFmtId="0" fontId="85" fillId="0" borderId="0"/>
    <xf numFmtId="0" fontId="1" fillId="0" borderId="0"/>
    <xf numFmtId="43" fontId="54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4" borderId="15" xfId="0" applyFont="1" applyFill="1" applyBorder="1"/>
    <xf numFmtId="0" fontId="10" fillId="4" borderId="16" xfId="0" applyFont="1" applyFill="1" applyBorder="1" applyAlignment="1">
      <alignment vertical="center"/>
    </xf>
    <xf numFmtId="0" fontId="10" fillId="4" borderId="16" xfId="0" applyFont="1" applyFill="1" applyBorder="1"/>
    <xf numFmtId="0" fontId="10" fillId="4" borderId="17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20" xfId="0" applyFont="1" applyFill="1" applyBorder="1" applyAlignment="1">
      <alignment vertical="center"/>
    </xf>
    <xf numFmtId="0" fontId="10" fillId="4" borderId="20" xfId="0" applyFont="1" applyFill="1" applyBorder="1"/>
    <xf numFmtId="0" fontId="10" fillId="4" borderId="21" xfId="0" applyFont="1" applyFill="1" applyBorder="1"/>
    <xf numFmtId="0" fontId="0" fillId="0" borderId="0" xfId="0" applyBorder="1"/>
    <xf numFmtId="0" fontId="0" fillId="0" borderId="31" xfId="0" applyBorder="1"/>
    <xf numFmtId="0" fontId="9" fillId="6" borderId="20" xfId="0" applyFont="1" applyFill="1" applyBorder="1" applyAlignment="1">
      <alignment vertical="center"/>
    </xf>
    <xf numFmtId="165" fontId="9" fillId="6" borderId="20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4" fontId="9" fillId="6" borderId="22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43" fontId="16" fillId="0" borderId="0" xfId="1" applyFont="1" applyAlignment="1">
      <alignment vertical="center"/>
    </xf>
    <xf numFmtId="0" fontId="10" fillId="4" borderId="47" xfId="0" applyFont="1" applyFill="1" applyBorder="1"/>
    <xf numFmtId="0" fontId="10" fillId="4" borderId="41" xfId="0" applyFont="1" applyFill="1" applyBorder="1"/>
    <xf numFmtId="0" fontId="0" fillId="6" borderId="0" xfId="0" applyFill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horizontal="center" vertical="center"/>
    </xf>
    <xf numFmtId="0" fontId="10" fillId="4" borderId="40" xfId="0" applyFont="1" applyFill="1" applyBorder="1"/>
    <xf numFmtId="0" fontId="10" fillId="4" borderId="42" xfId="0" applyFont="1" applyFill="1" applyBorder="1"/>
    <xf numFmtId="165" fontId="9" fillId="6" borderId="21" xfId="0" applyNumberFormat="1" applyFont="1" applyFill="1" applyBorder="1" applyAlignment="1">
      <alignment vertical="center"/>
    </xf>
    <xf numFmtId="43" fontId="0" fillId="0" borderId="0" xfId="0" applyNumberFormat="1"/>
    <xf numFmtId="43" fontId="0" fillId="0" borderId="0" xfId="1" applyFont="1"/>
    <xf numFmtId="0" fontId="0" fillId="0" borderId="0" xfId="0" applyNumberFormat="1"/>
    <xf numFmtId="0" fontId="9" fillId="2" borderId="0" xfId="0" applyFont="1" applyFill="1" applyBorder="1" applyAlignment="1">
      <alignment horizontal="center" vertical="center"/>
    </xf>
    <xf numFmtId="0" fontId="10" fillId="4" borderId="0" xfId="0" applyFont="1" applyFill="1" applyBorder="1"/>
    <xf numFmtId="164" fontId="9" fillId="6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 wrapText="1"/>
    </xf>
    <xf numFmtId="164" fontId="20" fillId="4" borderId="0" xfId="0" applyNumberFormat="1" applyFont="1" applyFill="1" applyBorder="1" applyAlignment="1">
      <alignment horizontal="center" vertical="center"/>
    </xf>
    <xf numFmtId="164" fontId="15" fillId="5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left" vertical="top" wrapText="1"/>
    </xf>
    <xf numFmtId="164" fontId="12" fillId="5" borderId="0" xfId="0" applyNumberFormat="1" applyFont="1" applyFill="1" applyBorder="1" applyAlignment="1">
      <alignment horizontal="center" vertical="center"/>
    </xf>
    <xf numFmtId="164" fontId="10" fillId="6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vertical="center"/>
    </xf>
    <xf numFmtId="165" fontId="10" fillId="9" borderId="0" xfId="0" applyNumberFormat="1" applyFont="1" applyFill="1" applyBorder="1" applyAlignment="1">
      <alignment horizontal="center" vertical="center"/>
    </xf>
    <xf numFmtId="164" fontId="15" fillId="9" borderId="0" xfId="0" applyNumberFormat="1" applyFont="1" applyFill="1" applyBorder="1" applyAlignment="1">
      <alignment horizontal="center" vertical="center"/>
    </xf>
    <xf numFmtId="164" fontId="9" fillId="9" borderId="0" xfId="0" applyNumberFormat="1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165" fontId="10" fillId="10" borderId="0" xfId="0" applyNumberFormat="1" applyFont="1" applyFill="1" applyBorder="1" applyAlignment="1">
      <alignment horizontal="center" vertical="center"/>
    </xf>
    <xf numFmtId="165" fontId="20" fillId="10" borderId="0" xfId="0" applyNumberFormat="1" applyFont="1" applyFill="1" applyBorder="1" applyAlignment="1">
      <alignment horizontal="center" vertical="center"/>
    </xf>
    <xf numFmtId="0" fontId="9" fillId="16" borderId="28" xfId="0" applyFont="1" applyFill="1" applyBorder="1" applyAlignment="1">
      <alignment horizontal="center" vertical="center"/>
    </xf>
    <xf numFmtId="0" fontId="10" fillId="15" borderId="17" xfId="0" applyFont="1" applyFill="1" applyBorder="1"/>
    <xf numFmtId="0" fontId="10" fillId="15" borderId="21" xfId="0" applyFont="1" applyFill="1" applyBorder="1"/>
    <xf numFmtId="37" fontId="0" fillId="0" borderId="0" xfId="0" applyNumberFormat="1"/>
    <xf numFmtId="164" fontId="0" fillId="0" borderId="0" xfId="0" applyNumberFormat="1"/>
    <xf numFmtId="164" fontId="9" fillId="6" borderId="57" xfId="0" applyNumberFormat="1" applyFont="1" applyFill="1" applyBorder="1" applyAlignment="1">
      <alignment vertical="center"/>
    </xf>
    <xf numFmtId="165" fontId="9" fillId="6" borderId="42" xfId="0" applyNumberFormat="1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165" fontId="9" fillId="15" borderId="42" xfId="0" applyNumberFormat="1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165" fontId="9" fillId="6" borderId="59" xfId="0" applyNumberFormat="1" applyFont="1" applyFill="1" applyBorder="1" applyAlignment="1">
      <alignment vertical="center"/>
    </xf>
    <xf numFmtId="0" fontId="10" fillId="6" borderId="59" xfId="0" applyFont="1" applyFill="1" applyBorder="1" applyAlignment="1">
      <alignment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12" borderId="39" xfId="0" applyFont="1" applyFill="1" applyBorder="1" applyAlignment="1">
      <alignment horizontal="center" vertical="center"/>
    </xf>
    <xf numFmtId="0" fontId="13" fillId="4" borderId="15" xfId="0" applyFont="1" applyFill="1" applyBorder="1"/>
    <xf numFmtId="0" fontId="13" fillId="4" borderId="47" xfId="0" applyFont="1" applyFill="1" applyBorder="1"/>
    <xf numFmtId="0" fontId="13" fillId="4" borderId="16" xfId="0" applyFont="1" applyFill="1" applyBorder="1" applyAlignment="1">
      <alignment vertical="center"/>
    </xf>
    <xf numFmtId="0" fontId="13" fillId="11" borderId="16" xfId="0" applyFont="1" applyFill="1" applyBorder="1"/>
    <xf numFmtId="0" fontId="13" fillId="4" borderId="40" xfId="0" applyFont="1" applyFill="1" applyBorder="1"/>
    <xf numFmtId="0" fontId="13" fillId="0" borderId="17" xfId="0" applyFont="1" applyFill="1" applyBorder="1"/>
    <xf numFmtId="0" fontId="13" fillId="4" borderId="16" xfId="0" applyFont="1" applyFill="1" applyBorder="1"/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164" fontId="22" fillId="11" borderId="42" xfId="0" applyNumberFormat="1" applyFont="1" applyFill="1" applyBorder="1" applyAlignment="1">
      <alignment vertical="center"/>
    </xf>
    <xf numFmtId="165" fontId="22" fillId="6" borderId="42" xfId="0" applyNumberFormat="1" applyFont="1" applyFill="1" applyBorder="1" applyAlignment="1">
      <alignment vertical="center"/>
    </xf>
    <xf numFmtId="0" fontId="13" fillId="4" borderId="19" xfId="0" applyFont="1" applyFill="1" applyBorder="1"/>
    <xf numFmtId="0" fontId="13" fillId="4" borderId="41" xfId="0" applyFont="1" applyFill="1" applyBorder="1"/>
    <xf numFmtId="0" fontId="13" fillId="4" borderId="20" xfId="0" applyFont="1" applyFill="1" applyBorder="1" applyAlignment="1">
      <alignment vertical="center"/>
    </xf>
    <xf numFmtId="0" fontId="13" fillId="11" borderId="20" xfId="0" applyFont="1" applyFill="1" applyBorder="1"/>
    <xf numFmtId="0" fontId="13" fillId="4" borderId="42" xfId="0" applyFont="1" applyFill="1" applyBorder="1"/>
    <xf numFmtId="0" fontId="13" fillId="0" borderId="21" xfId="0" applyFont="1" applyFill="1" applyBorder="1"/>
    <xf numFmtId="0" fontId="13" fillId="4" borderId="20" xfId="0" applyFont="1" applyFill="1" applyBorder="1"/>
    <xf numFmtId="164" fontId="24" fillId="4" borderId="20" xfId="1" applyNumberFormat="1" applyFont="1" applyFill="1" applyBorder="1" applyAlignment="1">
      <alignment horizontal="center" vertical="center"/>
    </xf>
    <xf numFmtId="164" fontId="13" fillId="0" borderId="20" xfId="1" applyNumberFormat="1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164" fontId="13" fillId="0" borderId="21" xfId="1" applyNumberFormat="1" applyFont="1" applyFill="1" applyBorder="1" applyAlignment="1">
      <alignment horizontal="center" vertical="center"/>
    </xf>
    <xf numFmtId="164" fontId="24" fillId="0" borderId="21" xfId="1" applyNumberFormat="1" applyFont="1" applyFill="1" applyBorder="1" applyAlignment="1">
      <alignment horizontal="center" vertical="center"/>
    </xf>
    <xf numFmtId="164" fontId="13" fillId="4" borderId="20" xfId="1" applyNumberFormat="1" applyFont="1" applyFill="1" applyBorder="1" applyAlignment="1">
      <alignment vertical="center"/>
    </xf>
    <xf numFmtId="164" fontId="13" fillId="4" borderId="21" xfId="1" applyNumberFormat="1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165" fontId="22" fillId="6" borderId="59" xfId="0" applyNumberFormat="1" applyFont="1" applyFill="1" applyBorder="1" applyAlignment="1">
      <alignment vertical="center"/>
    </xf>
    <xf numFmtId="164" fontId="22" fillId="6" borderId="61" xfId="1" applyNumberFormat="1" applyFont="1" applyFill="1" applyBorder="1" applyAlignment="1">
      <alignment vertical="center"/>
    </xf>
    <xf numFmtId="0" fontId="22" fillId="17" borderId="26" xfId="0" applyFont="1" applyFill="1" applyBorder="1" applyAlignment="1">
      <alignment vertical="center"/>
    </xf>
    <xf numFmtId="0" fontId="22" fillId="17" borderId="11" xfId="0" applyFont="1" applyFill="1" applyBorder="1" applyAlignment="1">
      <alignment vertical="center"/>
    </xf>
    <xf numFmtId="164" fontId="24" fillId="17" borderId="4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164" fontId="10" fillId="10" borderId="0" xfId="0" applyNumberFormat="1" applyFont="1" applyFill="1" applyBorder="1" applyAlignment="1">
      <alignment horizontal="center" vertical="center" wrapText="1"/>
    </xf>
    <xf numFmtId="43" fontId="12" fillId="4" borderId="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164" fontId="13" fillId="11" borderId="20" xfId="1" applyNumberFormat="1" applyFont="1" applyFill="1" applyBorder="1" applyAlignment="1">
      <alignment horizontal="center" vertical="center"/>
    </xf>
    <xf numFmtId="164" fontId="24" fillId="0" borderId="20" xfId="1" applyNumberFormat="1" applyFont="1" applyFill="1" applyBorder="1" applyAlignment="1">
      <alignment horizontal="center" vertical="center"/>
    </xf>
    <xf numFmtId="0" fontId="22" fillId="18" borderId="4" xfId="0" applyFont="1" applyFill="1" applyBorder="1" applyAlignment="1">
      <alignment horizontal="center" vertical="center"/>
    </xf>
    <xf numFmtId="0" fontId="22" fillId="13" borderId="19" xfId="0" applyFont="1" applyFill="1" applyBorder="1" applyAlignment="1">
      <alignment vertical="center"/>
    </xf>
    <xf numFmtId="0" fontId="22" fillId="13" borderId="48" xfId="0" applyFont="1" applyFill="1" applyBorder="1" applyAlignment="1">
      <alignment vertical="center"/>
    </xf>
    <xf numFmtId="0" fontId="22" fillId="13" borderId="45" xfId="0" applyFont="1" applyFill="1" applyBorder="1" applyAlignment="1">
      <alignment vertical="center"/>
    </xf>
    <xf numFmtId="164" fontId="13" fillId="13" borderId="45" xfId="0" applyNumberFormat="1" applyFont="1" applyFill="1" applyBorder="1" applyAlignment="1">
      <alignment horizontal="center" vertical="center"/>
    </xf>
    <xf numFmtId="0" fontId="22" fillId="17" borderId="43" xfId="0" applyFont="1" applyFill="1" applyBorder="1" applyAlignment="1">
      <alignment horizontal="center" vertical="center" wrapText="1"/>
    </xf>
    <xf numFmtId="43" fontId="10" fillId="0" borderId="44" xfId="1" applyFont="1" applyFill="1" applyBorder="1" applyAlignment="1">
      <alignment horizontal="center" vertical="center"/>
    </xf>
    <xf numFmtId="164" fontId="12" fillId="0" borderId="44" xfId="1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66" fontId="12" fillId="0" borderId="24" xfId="1" applyNumberFormat="1" applyFont="1" applyFill="1" applyBorder="1" applyAlignment="1">
      <alignment horizontal="center" vertical="center"/>
    </xf>
    <xf numFmtId="164" fontId="10" fillId="0" borderId="24" xfId="1" applyNumberFormat="1" applyFont="1" applyFill="1" applyBorder="1" applyAlignment="1">
      <alignment horizontal="center" vertical="center"/>
    </xf>
    <xf numFmtId="43" fontId="10" fillId="0" borderId="24" xfId="1" applyNumberFormat="1" applyFont="1" applyFill="1" applyBorder="1" applyAlignment="1">
      <alignment horizontal="center" vertical="center"/>
    </xf>
    <xf numFmtId="164" fontId="24" fillId="4" borderId="41" xfId="1" applyNumberFormat="1" applyFont="1" applyFill="1" applyBorder="1" applyAlignment="1">
      <alignment horizontal="center" vertical="center"/>
    </xf>
    <xf numFmtId="164" fontId="24" fillId="11" borderId="20" xfId="1" applyNumberFormat="1" applyFont="1" applyFill="1" applyBorder="1" applyAlignment="1">
      <alignment horizontal="center" vertical="center"/>
    </xf>
    <xf numFmtId="164" fontId="10" fillId="19" borderId="4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2" fontId="10" fillId="0" borderId="24" xfId="1" applyNumberFormat="1" applyFont="1" applyFill="1" applyBorder="1" applyAlignment="1">
      <alignment horizontal="center" vertical="center"/>
    </xf>
    <xf numFmtId="164" fontId="10" fillId="0" borderId="45" xfId="1" applyNumberFormat="1" applyFont="1" applyFill="1" applyBorder="1" applyAlignment="1">
      <alignment vertical="center"/>
    </xf>
    <xf numFmtId="43" fontId="10" fillId="0" borderId="45" xfId="1" applyNumberFormat="1" applyFont="1" applyFill="1" applyBorder="1" applyAlignment="1">
      <alignment vertical="center"/>
    </xf>
    <xf numFmtId="2" fontId="10" fillId="0" borderId="45" xfId="1" applyNumberFormat="1" applyFont="1" applyFill="1" applyBorder="1" applyAlignment="1">
      <alignment vertical="center"/>
    </xf>
    <xf numFmtId="43" fontId="10" fillId="8" borderId="45" xfId="0" applyNumberFormat="1" applyFont="1" applyFill="1" applyBorder="1" applyAlignment="1">
      <alignment horizontal="center" vertical="center"/>
    </xf>
    <xf numFmtId="164" fontId="9" fillId="8" borderId="45" xfId="0" applyNumberFormat="1" applyFont="1" applyFill="1" applyBorder="1" applyAlignment="1">
      <alignment horizontal="center" vertical="center"/>
    </xf>
    <xf numFmtId="0" fontId="14" fillId="14" borderId="26" xfId="0" applyFont="1" applyFill="1" applyBorder="1" applyAlignment="1">
      <alignment vertical="center"/>
    </xf>
    <xf numFmtId="0" fontId="9" fillId="2" borderId="63" xfId="0" applyFont="1" applyFill="1" applyBorder="1" applyAlignment="1">
      <alignment horizontal="center" vertical="center"/>
    </xf>
    <xf numFmtId="43" fontId="10" fillId="4" borderId="0" xfId="1" applyFont="1" applyFill="1" applyBorder="1" applyAlignment="1">
      <alignment horizontal="center" vertical="center"/>
    </xf>
    <xf numFmtId="43" fontId="9" fillId="6" borderId="0" xfId="1" applyFont="1" applyFill="1" applyBorder="1" applyAlignment="1">
      <alignment horizontal="center" vertical="center"/>
    </xf>
    <xf numFmtId="43" fontId="15" fillId="5" borderId="0" xfId="1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/>
    </xf>
    <xf numFmtId="15" fontId="0" fillId="0" borderId="0" xfId="0" applyNumberFormat="1"/>
    <xf numFmtId="43" fontId="13" fillId="0" borderId="0" xfId="1" applyFont="1"/>
    <xf numFmtId="43" fontId="26" fillId="0" borderId="0" xfId="1" applyFont="1"/>
    <xf numFmtId="43" fontId="10" fillId="6" borderId="0" xfId="1" applyFont="1" applyFill="1" applyBorder="1" applyAlignment="1">
      <alignment horizontal="center" vertical="center"/>
    </xf>
    <xf numFmtId="164" fontId="0" fillId="0" borderId="0" xfId="1" applyNumberFormat="1" applyFont="1"/>
    <xf numFmtId="0" fontId="14" fillId="3" borderId="4" xfId="0" applyFont="1" applyFill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center" vertical="center"/>
    </xf>
    <xf numFmtId="0" fontId="27" fillId="0" borderId="0" xfId="0" applyFont="1"/>
    <xf numFmtId="0" fontId="28" fillId="0" borderId="66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164" fontId="34" fillId="0" borderId="0" xfId="1" applyNumberFormat="1" applyFont="1"/>
    <xf numFmtId="0" fontId="31" fillId="0" borderId="66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vertical="center"/>
    </xf>
    <xf numFmtId="0" fontId="22" fillId="5" borderId="4" xfId="0" applyFont="1" applyFill="1" applyBorder="1" applyAlignment="1">
      <alignment vertical="center"/>
    </xf>
    <xf numFmtId="164" fontId="13" fillId="5" borderId="4" xfId="0" applyNumberFormat="1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vertical="center"/>
    </xf>
    <xf numFmtId="0" fontId="22" fillId="4" borderId="45" xfId="0" applyFont="1" applyFill="1" applyBorder="1" applyAlignment="1">
      <alignment vertical="center"/>
    </xf>
    <xf numFmtId="0" fontId="13" fillId="4" borderId="45" xfId="0" applyFont="1" applyFill="1" applyBorder="1" applyAlignment="1">
      <alignment vertical="center" wrapText="1"/>
    </xf>
    <xf numFmtId="164" fontId="13" fillId="4" borderId="45" xfId="1" applyNumberFormat="1" applyFont="1" applyFill="1" applyBorder="1" applyAlignment="1">
      <alignment vertical="center"/>
    </xf>
    <xf numFmtId="164" fontId="13" fillId="4" borderId="1" xfId="1" applyNumberFormat="1" applyFont="1" applyFill="1" applyBorder="1" applyAlignment="1">
      <alignment vertical="center"/>
    </xf>
    <xf numFmtId="43" fontId="13" fillId="4" borderId="45" xfId="1" applyNumberFormat="1" applyFont="1" applyFill="1" applyBorder="1" applyAlignment="1">
      <alignment vertical="center"/>
    </xf>
    <xf numFmtId="164" fontId="24" fillId="4" borderId="45" xfId="1" applyNumberFormat="1" applyFont="1" applyFill="1" applyBorder="1" applyAlignment="1">
      <alignment vertical="center"/>
    </xf>
    <xf numFmtId="0" fontId="9" fillId="8" borderId="3" xfId="0" applyFont="1" applyFill="1" applyBorder="1" applyAlignment="1">
      <alignment vertical="center"/>
    </xf>
    <xf numFmtId="164" fontId="10" fillId="17" borderId="4" xfId="0" applyNumberFormat="1" applyFont="1" applyFill="1" applyBorder="1" applyAlignment="1">
      <alignment horizontal="center" vertical="center"/>
    </xf>
    <xf numFmtId="2" fontId="9" fillId="17" borderId="28" xfId="0" applyNumberFormat="1" applyFont="1" applyFill="1" applyBorder="1" applyAlignment="1">
      <alignment horizontal="center" vertical="center"/>
    </xf>
    <xf numFmtId="165" fontId="9" fillId="8" borderId="4" xfId="0" applyNumberFormat="1" applyFont="1" applyFill="1" applyBorder="1" applyAlignment="1">
      <alignment horizontal="center" vertical="center"/>
    </xf>
    <xf numFmtId="164" fontId="9" fillId="8" borderId="4" xfId="0" applyNumberFormat="1" applyFont="1" applyFill="1" applyBorder="1" applyAlignment="1">
      <alignment horizontal="center" vertical="center"/>
    </xf>
    <xf numFmtId="164" fontId="10" fillId="4" borderId="21" xfId="1" applyNumberFormat="1" applyFont="1" applyFill="1" applyBorder="1" applyAlignment="1">
      <alignment vertical="center"/>
    </xf>
    <xf numFmtId="165" fontId="11" fillId="14" borderId="11" xfId="0" applyNumberFormat="1" applyFont="1" applyFill="1" applyBorder="1" applyAlignment="1">
      <alignment horizontal="center" vertical="center"/>
    </xf>
    <xf numFmtId="166" fontId="11" fillId="14" borderId="11" xfId="0" applyNumberFormat="1" applyFont="1" applyFill="1" applyBorder="1" applyAlignment="1">
      <alignment horizontal="center" vertical="center"/>
    </xf>
    <xf numFmtId="43" fontId="11" fillId="14" borderId="11" xfId="1" applyFont="1" applyFill="1" applyBorder="1" applyAlignment="1">
      <alignment horizontal="center" vertical="center"/>
    </xf>
    <xf numFmtId="166" fontId="9" fillId="8" borderId="45" xfId="0" applyNumberFormat="1" applyFont="1" applyFill="1" applyBorder="1" applyAlignment="1">
      <alignment horizontal="center" vertical="center"/>
    </xf>
    <xf numFmtId="164" fontId="13" fillId="4" borderId="16" xfId="1" applyNumberFormat="1" applyFont="1" applyFill="1" applyBorder="1" applyAlignment="1">
      <alignment vertical="center"/>
    </xf>
    <xf numFmtId="164" fontId="22" fillId="5" borderId="4" xfId="0" applyNumberFormat="1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164" fontId="22" fillId="13" borderId="45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 wrapText="1"/>
    </xf>
    <xf numFmtId="0" fontId="35" fillId="0" borderId="0" xfId="0" applyFont="1"/>
    <xf numFmtId="43" fontId="35" fillId="0" borderId="0" xfId="1" applyFont="1"/>
    <xf numFmtId="166" fontId="12" fillId="0" borderId="24" xfId="1" applyNumberFormat="1" applyFont="1" applyFill="1" applyBorder="1" applyAlignment="1">
      <alignment vertical="center"/>
    </xf>
    <xf numFmtId="164" fontId="11" fillId="17" borderId="43" xfId="0" applyNumberFormat="1" applyFont="1" applyFill="1" applyBorder="1" applyAlignment="1">
      <alignment horizontal="center" vertical="center"/>
    </xf>
    <xf numFmtId="165" fontId="9" fillId="6" borderId="63" xfId="0" applyNumberFormat="1" applyFont="1" applyFill="1" applyBorder="1" applyAlignment="1">
      <alignment vertical="center"/>
    </xf>
    <xf numFmtId="164" fontId="13" fillId="4" borderId="20" xfId="1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165" fontId="9" fillId="6" borderId="4" xfId="0" applyNumberFormat="1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164" fontId="10" fillId="4" borderId="44" xfId="1" applyNumberFormat="1" applyFont="1" applyFill="1" applyBorder="1" applyAlignment="1">
      <alignment horizontal="center" vertical="center"/>
    </xf>
    <xf numFmtId="43" fontId="10" fillId="4" borderId="44" xfId="1" applyFont="1" applyFill="1" applyBorder="1" applyAlignment="1">
      <alignment horizontal="center" vertical="center"/>
    </xf>
    <xf numFmtId="43" fontId="10" fillId="4" borderId="38" xfId="1" applyFont="1" applyFill="1" applyBorder="1" applyAlignment="1">
      <alignment horizontal="center" vertical="center"/>
    </xf>
    <xf numFmtId="2" fontId="10" fillId="4" borderId="44" xfId="1" applyNumberFormat="1" applyFont="1" applyFill="1" applyBorder="1" applyAlignment="1">
      <alignment horizontal="center" vertical="center" wrapText="1"/>
    </xf>
    <xf numFmtId="2" fontId="10" fillId="4" borderId="44" xfId="1" applyNumberFormat="1" applyFont="1" applyFill="1" applyBorder="1" applyAlignment="1">
      <alignment horizontal="center" vertical="center"/>
    </xf>
    <xf numFmtId="43" fontId="20" fillId="4" borderId="54" xfId="1" applyFont="1" applyFill="1" applyBorder="1" applyAlignment="1">
      <alignment horizontal="center" vertical="center"/>
    </xf>
    <xf numFmtId="164" fontId="10" fillId="4" borderId="20" xfId="1" applyNumberFormat="1" applyFont="1" applyFill="1" applyBorder="1" applyAlignment="1">
      <alignment horizontal="center" vertical="center"/>
    </xf>
    <xf numFmtId="43" fontId="10" fillId="4" borderId="21" xfId="1" applyFont="1" applyFill="1" applyBorder="1" applyAlignment="1">
      <alignment horizontal="center" vertical="center"/>
    </xf>
    <xf numFmtId="164" fontId="10" fillId="4" borderId="21" xfId="1" applyNumberFormat="1" applyFont="1" applyFill="1" applyBorder="1" applyAlignment="1">
      <alignment horizontal="center" vertical="center"/>
    </xf>
    <xf numFmtId="2" fontId="10" fillId="4" borderId="21" xfId="1" applyNumberFormat="1" applyFont="1" applyFill="1" applyBorder="1" applyAlignment="1">
      <alignment horizontal="center" vertical="center"/>
    </xf>
    <xf numFmtId="164" fontId="12" fillId="4" borderId="21" xfId="1" applyNumberFormat="1" applyFont="1" applyFill="1" applyBorder="1" applyAlignment="1">
      <alignment horizontal="center" vertical="center"/>
    </xf>
    <xf numFmtId="43" fontId="10" fillId="4" borderId="20" xfId="1" applyFont="1" applyFill="1" applyBorder="1" applyAlignment="1">
      <alignment vertical="center"/>
    </xf>
    <xf numFmtId="2" fontId="10" fillId="4" borderId="20" xfId="1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vertical="center"/>
    </xf>
    <xf numFmtId="0" fontId="16" fillId="7" borderId="43" xfId="0" applyFont="1" applyFill="1" applyBorder="1" applyAlignment="1">
      <alignment vertical="center"/>
    </xf>
    <xf numFmtId="43" fontId="22" fillId="13" borderId="45" xfId="0" applyNumberFormat="1" applyFont="1" applyFill="1" applyBorder="1" applyAlignment="1">
      <alignment horizontal="center" vertical="center"/>
    </xf>
    <xf numFmtId="0" fontId="13" fillId="4" borderId="18" xfId="0" applyFont="1" applyFill="1" applyBorder="1"/>
    <xf numFmtId="165" fontId="22" fillId="6" borderId="57" xfId="0" applyNumberFormat="1" applyFont="1" applyFill="1" applyBorder="1" applyAlignment="1">
      <alignment vertical="center"/>
    </xf>
    <xf numFmtId="0" fontId="13" fillId="4" borderId="22" xfId="0" applyFont="1" applyFill="1" applyBorder="1"/>
    <xf numFmtId="164" fontId="22" fillId="6" borderId="72" xfId="1" applyNumberFormat="1" applyFont="1" applyFill="1" applyBorder="1" applyAlignment="1">
      <alignment vertical="center"/>
    </xf>
    <xf numFmtId="43" fontId="13" fillId="4" borderId="32" xfId="1" applyFont="1" applyFill="1" applyBorder="1" applyAlignment="1">
      <alignment vertical="center"/>
    </xf>
    <xf numFmtId="43" fontId="9" fillId="13" borderId="32" xfId="1" applyFont="1" applyFill="1" applyBorder="1" applyAlignment="1">
      <alignment horizontal="center" vertical="center"/>
    </xf>
    <xf numFmtId="43" fontId="14" fillId="21" borderId="10" xfId="1" applyFont="1" applyFill="1" applyBorder="1" applyAlignment="1">
      <alignment horizontal="center" vertical="center"/>
    </xf>
    <xf numFmtId="2" fontId="12" fillId="4" borderId="24" xfId="1" applyNumberFormat="1" applyFont="1" applyFill="1" applyBorder="1" applyAlignment="1">
      <alignment horizontal="center" vertical="center"/>
    </xf>
    <xf numFmtId="0" fontId="16" fillId="7" borderId="56" xfId="0" quotePrefix="1" applyFont="1" applyFill="1" applyBorder="1" applyAlignment="1">
      <alignment vertical="center"/>
    </xf>
    <xf numFmtId="0" fontId="0" fillId="0" borderId="4" xfId="0" applyBorder="1"/>
    <xf numFmtId="164" fontId="0" fillId="0" borderId="4" xfId="0" applyNumberFormat="1" applyBorder="1" applyAlignment="1">
      <alignment vertical="center"/>
    </xf>
    <xf numFmtId="0" fontId="16" fillId="9" borderId="4" xfId="0" applyFont="1" applyFill="1" applyBorder="1" applyAlignment="1">
      <alignment horizontal="right" vertical="center"/>
    </xf>
    <xf numFmtId="164" fontId="9" fillId="6" borderId="28" xfId="0" applyNumberFormat="1" applyFont="1" applyFill="1" applyBorder="1" applyAlignment="1">
      <alignment vertical="center"/>
    </xf>
    <xf numFmtId="164" fontId="9" fillId="6" borderId="46" xfId="0" applyNumberFormat="1" applyFont="1" applyFill="1" applyBorder="1" applyAlignment="1">
      <alignment horizontal="right" vertical="center"/>
    </xf>
    <xf numFmtId="0" fontId="9" fillId="8" borderId="55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164" fontId="9" fillId="6" borderId="59" xfId="1" applyNumberFormat="1" applyFont="1" applyFill="1" applyBorder="1" applyAlignment="1">
      <alignment vertical="center"/>
    </xf>
    <xf numFmtId="164" fontId="9" fillId="6" borderId="59" xfId="0" applyNumberFormat="1" applyFont="1" applyFill="1" applyBorder="1" applyAlignment="1">
      <alignment vertical="center"/>
    </xf>
    <xf numFmtId="0" fontId="37" fillId="0" borderId="0" xfId="0" applyFont="1"/>
    <xf numFmtId="167" fontId="16" fillId="9" borderId="0" xfId="0" applyNumberFormat="1" applyFont="1" applyFill="1"/>
    <xf numFmtId="164" fontId="24" fillId="4" borderId="20" xfId="1" applyNumberFormat="1" applyFont="1" applyFill="1" applyBorder="1" applyAlignment="1">
      <alignment vertical="center"/>
    </xf>
    <xf numFmtId="43" fontId="12" fillId="4" borderId="44" xfId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64" fontId="25" fillId="4" borderId="21" xfId="1" applyNumberFormat="1" applyFont="1" applyFill="1" applyBorder="1" applyAlignment="1">
      <alignment horizontal="center" vertical="center"/>
    </xf>
    <xf numFmtId="43" fontId="15" fillId="5" borderId="11" xfId="1" applyFont="1" applyFill="1" applyBorder="1" applyAlignment="1">
      <alignment horizontal="center" vertical="center"/>
    </xf>
    <xf numFmtId="43" fontId="12" fillId="4" borderId="21" xfId="1" applyFont="1" applyFill="1" applyBorder="1" applyAlignment="1">
      <alignment horizontal="center" vertical="center"/>
    </xf>
    <xf numFmtId="43" fontId="12" fillId="4" borderId="20" xfId="1" applyFont="1" applyFill="1" applyBorder="1" applyAlignment="1">
      <alignment horizontal="center" vertical="center"/>
    </xf>
    <xf numFmtId="43" fontId="20" fillId="0" borderId="62" xfId="1" applyFont="1" applyFill="1" applyBorder="1" applyAlignment="1">
      <alignment horizontal="center" vertical="center" wrapText="1"/>
    </xf>
    <xf numFmtId="165" fontId="12" fillId="4" borderId="20" xfId="1" applyNumberFormat="1" applyFont="1" applyFill="1" applyBorder="1" applyAlignment="1">
      <alignment vertical="center"/>
    </xf>
    <xf numFmtId="165" fontId="12" fillId="4" borderId="20" xfId="1" applyNumberFormat="1" applyFont="1" applyFill="1" applyBorder="1" applyAlignment="1">
      <alignment vertical="center" wrapText="1"/>
    </xf>
    <xf numFmtId="43" fontId="12" fillId="0" borderId="16" xfId="1" applyFont="1" applyFill="1" applyBorder="1" applyAlignment="1">
      <alignment vertical="center"/>
    </xf>
    <xf numFmtId="0" fontId="9" fillId="2" borderId="4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41" fillId="6" borderId="0" xfId="0" applyFont="1" applyFill="1" applyBorder="1" applyAlignment="1">
      <alignment vertical="center"/>
    </xf>
    <xf numFmtId="164" fontId="10" fillId="0" borderId="20" xfId="1" applyNumberFormat="1" applyFont="1" applyFill="1" applyBorder="1" applyAlignment="1">
      <alignment horizontal="center" vertical="center" wrapText="1"/>
    </xf>
    <xf numFmtId="164" fontId="10" fillId="4" borderId="21" xfId="1" applyNumberFormat="1" applyFont="1" applyFill="1" applyBorder="1" applyAlignment="1">
      <alignment horizontal="center" vertical="center" wrapText="1"/>
    </xf>
    <xf numFmtId="37" fontId="10" fillId="4" borderId="21" xfId="1" applyNumberFormat="1" applyFont="1" applyFill="1" applyBorder="1" applyAlignment="1">
      <alignment horizontal="center" vertical="center"/>
    </xf>
    <xf numFmtId="14" fontId="10" fillId="4" borderId="21" xfId="1" applyNumberFormat="1" applyFont="1" applyFill="1" applyBorder="1" applyAlignment="1">
      <alignment horizontal="center" vertical="center"/>
    </xf>
    <xf numFmtId="14" fontId="10" fillId="4" borderId="22" xfId="1" applyNumberFormat="1" applyFont="1" applyFill="1" applyBorder="1" applyAlignment="1">
      <alignment horizontal="center" vertical="center"/>
    </xf>
    <xf numFmtId="164" fontId="10" fillId="0" borderId="68" xfId="1" applyNumberFormat="1" applyFont="1" applyFill="1" applyBorder="1" applyAlignment="1">
      <alignment horizontal="center" vertical="center" wrapText="1"/>
    </xf>
    <xf numFmtId="164" fontId="10" fillId="4" borderId="68" xfId="1" applyNumberFormat="1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/>
    </xf>
    <xf numFmtId="165" fontId="12" fillId="4" borderId="24" xfId="1" applyNumberFormat="1" applyFont="1" applyFill="1" applyBorder="1" applyAlignment="1">
      <alignment horizontal="center" vertical="center"/>
    </xf>
    <xf numFmtId="165" fontId="12" fillId="4" borderId="25" xfId="1" applyNumberFormat="1" applyFont="1" applyFill="1" applyBorder="1" applyAlignment="1">
      <alignment horizontal="center" vertical="center"/>
    </xf>
    <xf numFmtId="43" fontId="12" fillId="4" borderId="25" xfId="1" applyFont="1" applyFill="1" applyBorder="1" applyAlignment="1">
      <alignment horizontal="center" vertical="center"/>
    </xf>
    <xf numFmtId="43" fontId="12" fillId="4" borderId="27" xfId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vertical="center"/>
    </xf>
    <xf numFmtId="0" fontId="9" fillId="5" borderId="43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166" fontId="11" fillId="5" borderId="11" xfId="0" applyNumberFormat="1" applyFont="1" applyFill="1" applyBorder="1" applyAlignment="1">
      <alignment horizontal="center" vertical="center"/>
    </xf>
    <xf numFmtId="43" fontId="11" fillId="5" borderId="11" xfId="1" applyFont="1" applyFill="1" applyBorder="1" applyAlignment="1">
      <alignment horizontal="center" vertical="center"/>
    </xf>
    <xf numFmtId="1" fontId="11" fillId="5" borderId="11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43" fontId="12" fillId="0" borderId="24" xfId="1" applyFont="1" applyFill="1" applyBorder="1" applyAlignment="1">
      <alignment vertical="center"/>
    </xf>
    <xf numFmtId="164" fontId="12" fillId="0" borderId="71" xfId="1" applyNumberFormat="1" applyFont="1" applyBorder="1" applyAlignment="1">
      <alignment vertical="center"/>
    </xf>
    <xf numFmtId="164" fontId="12" fillId="0" borderId="20" xfId="1" applyNumberFormat="1" applyFont="1" applyBorder="1" applyAlignment="1">
      <alignment vertical="center"/>
    </xf>
    <xf numFmtId="164" fontId="13" fillId="4" borderId="4" xfId="1" applyNumberFormat="1" applyFont="1" applyFill="1" applyBorder="1" applyAlignment="1">
      <alignment vertical="center"/>
    </xf>
    <xf numFmtId="168" fontId="0" fillId="0" borderId="0" xfId="0" applyNumberFormat="1"/>
    <xf numFmtId="0" fontId="9" fillId="2" borderId="28" xfId="0" applyFont="1" applyFill="1" applyBorder="1" applyAlignment="1">
      <alignment horizontal="center" vertical="center"/>
    </xf>
    <xf numFmtId="14" fontId="13" fillId="4" borderId="44" xfId="1" applyNumberFormat="1" applyFont="1" applyFill="1" applyBorder="1" applyAlignment="1">
      <alignment horizontal="center" vertical="center" wrapText="1"/>
    </xf>
    <xf numFmtId="43" fontId="13" fillId="4" borderId="38" xfId="1" applyFont="1" applyFill="1" applyBorder="1" applyAlignment="1">
      <alignment horizontal="center" vertical="center"/>
    </xf>
    <xf numFmtId="164" fontId="12" fillId="4" borderId="20" xfId="1" applyNumberFormat="1" applyFont="1" applyFill="1" applyBorder="1" applyAlignment="1">
      <alignment vertical="center"/>
    </xf>
    <xf numFmtId="164" fontId="13" fillId="4" borderId="20" xfId="1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left" vertical="center" wrapText="1"/>
    </xf>
    <xf numFmtId="43" fontId="10" fillId="0" borderId="74" xfId="1" applyFont="1" applyFill="1" applyBorder="1" applyAlignment="1">
      <alignment horizontal="center" vertical="center"/>
    </xf>
    <xf numFmtId="43" fontId="10" fillId="0" borderId="75" xfId="1" applyFont="1" applyFill="1" applyBorder="1" applyAlignment="1">
      <alignment horizontal="center" vertical="center"/>
    </xf>
    <xf numFmtId="164" fontId="12" fillId="4" borderId="41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164" fontId="9" fillId="6" borderId="0" xfId="0" applyNumberFormat="1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/>
    </xf>
    <xf numFmtId="165" fontId="9" fillId="6" borderId="64" xfId="0" applyNumberFormat="1" applyFont="1" applyFill="1" applyBorder="1" applyAlignment="1">
      <alignment horizontal="center" vertical="center"/>
    </xf>
    <xf numFmtId="165" fontId="12" fillId="0" borderId="44" xfId="1" applyNumberFormat="1" applyFont="1" applyFill="1" applyBorder="1" applyAlignment="1">
      <alignment horizontal="center" vertical="center"/>
    </xf>
    <xf numFmtId="165" fontId="10" fillId="0" borderId="20" xfId="1" applyNumberFormat="1" applyFont="1" applyFill="1" applyBorder="1" applyAlignment="1">
      <alignment horizontal="center" vertical="center"/>
    </xf>
    <xf numFmtId="165" fontId="10" fillId="0" borderId="44" xfId="1" applyNumberFormat="1" applyFont="1" applyFill="1" applyBorder="1" applyAlignment="1">
      <alignment horizontal="center" vertical="center"/>
    </xf>
    <xf numFmtId="14" fontId="10" fillId="4" borderId="22" xfId="1" applyNumberFormat="1" applyFont="1" applyFill="1" applyBorder="1" applyAlignment="1">
      <alignment horizontal="center" vertical="center" wrapText="1"/>
    </xf>
    <xf numFmtId="43" fontId="24" fillId="4" borderId="45" xfId="1" applyNumberFormat="1" applyFont="1" applyFill="1" applyBorder="1" applyAlignment="1">
      <alignment vertical="center"/>
    </xf>
    <xf numFmtId="164" fontId="0" fillId="0" borderId="0" xfId="1" applyNumberFormat="1" applyFont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/>
    <xf numFmtId="43" fontId="10" fillId="0" borderId="44" xfId="1" applyNumberFormat="1" applyFont="1" applyFill="1" applyBorder="1" applyAlignment="1">
      <alignment horizontal="center" vertical="center"/>
    </xf>
    <xf numFmtId="43" fontId="0" fillId="0" borderId="76" xfId="1" applyFont="1" applyBorder="1" applyAlignment="1">
      <alignment vertical="center"/>
    </xf>
    <xf numFmtId="43" fontId="42" fillId="4" borderId="22" xfId="1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43" fontId="10" fillId="4" borderId="1" xfId="1" applyFont="1" applyFill="1" applyBorder="1" applyAlignment="1">
      <alignment vertical="center"/>
    </xf>
    <xf numFmtId="164" fontId="10" fillId="4" borderId="1" xfId="1" applyNumberFormat="1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left" vertical="center" wrapText="1"/>
    </xf>
    <xf numFmtId="165" fontId="12" fillId="4" borderId="44" xfId="1" applyNumberFormat="1" applyFont="1" applyFill="1" applyBorder="1" applyAlignment="1">
      <alignment vertical="center"/>
    </xf>
    <xf numFmtId="164" fontId="12" fillId="0" borderId="38" xfId="1" applyNumberFormat="1" applyFont="1" applyFill="1" applyBorder="1" applyAlignment="1">
      <alignment horizontal="center" vertical="center"/>
    </xf>
    <xf numFmtId="164" fontId="13" fillId="4" borderId="44" xfId="1" applyNumberFormat="1" applyFont="1" applyFill="1" applyBorder="1" applyAlignment="1">
      <alignment vertical="center"/>
    </xf>
    <xf numFmtId="43" fontId="10" fillId="4" borderId="44" xfId="1" applyFont="1" applyFill="1" applyBorder="1" applyAlignment="1">
      <alignment vertical="center"/>
    </xf>
    <xf numFmtId="43" fontId="43" fillId="4" borderId="44" xfId="1" applyFont="1" applyFill="1" applyBorder="1" applyAlignment="1">
      <alignment horizontal="center" vertical="center"/>
    </xf>
    <xf numFmtId="43" fontId="43" fillId="0" borderId="24" xfId="1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 wrapText="1"/>
    </xf>
    <xf numFmtId="164" fontId="13" fillId="4" borderId="21" xfId="1" applyNumberFormat="1" applyFont="1" applyFill="1" applyBorder="1" applyAlignment="1">
      <alignment horizontal="center" vertical="center" wrapText="1"/>
    </xf>
    <xf numFmtId="165" fontId="10" fillId="0" borderId="45" xfId="1" applyNumberFormat="1" applyFont="1" applyFill="1" applyBorder="1" applyAlignment="1">
      <alignment vertical="center"/>
    </xf>
    <xf numFmtId="165" fontId="9" fillId="8" borderId="45" xfId="1" applyNumberFormat="1" applyFont="1" applyFill="1" applyBorder="1" applyAlignment="1">
      <alignment horizontal="center" vertical="center"/>
    </xf>
    <xf numFmtId="165" fontId="15" fillId="11" borderId="11" xfId="1" applyNumberFormat="1" applyFont="1" applyFill="1" applyBorder="1" applyAlignment="1">
      <alignment horizontal="center" vertical="center"/>
    </xf>
    <xf numFmtId="165" fontId="10" fillId="4" borderId="44" xfId="1" applyNumberFormat="1" applyFont="1" applyFill="1" applyBorder="1" applyAlignment="1">
      <alignment horizontal="center" vertical="center"/>
    </xf>
    <xf numFmtId="43" fontId="20" fillId="0" borderId="32" xfId="0" applyNumberFormat="1" applyFont="1" applyFill="1" applyBorder="1" applyAlignment="1">
      <alignment vertical="center" wrapText="1"/>
    </xf>
    <xf numFmtId="43" fontId="9" fillId="8" borderId="32" xfId="1" applyFont="1" applyFill="1" applyBorder="1" applyAlignment="1">
      <alignment horizontal="center" vertical="center"/>
    </xf>
    <xf numFmtId="43" fontId="14" fillId="22" borderId="10" xfId="1" applyFont="1" applyFill="1" applyBorder="1" applyAlignment="1">
      <alignment horizontal="center" vertical="center"/>
    </xf>
    <xf numFmtId="43" fontId="9" fillId="11" borderId="4" xfId="0" applyNumberFormat="1" applyFont="1" applyFill="1" applyBorder="1" applyAlignment="1">
      <alignment horizontal="center" vertical="center"/>
    </xf>
    <xf numFmtId="43" fontId="9" fillId="17" borderId="4" xfId="1" applyFont="1" applyFill="1" applyBorder="1" applyAlignment="1">
      <alignment horizontal="center" vertical="center"/>
    </xf>
    <xf numFmtId="43" fontId="10" fillId="17" borderId="4" xfId="0" applyNumberFormat="1" applyFont="1" applyFill="1" applyBorder="1" applyAlignment="1">
      <alignment horizontal="center" vertical="center"/>
    </xf>
    <xf numFmtId="2" fontId="10" fillId="17" borderId="28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64" fontId="9" fillId="6" borderId="0" xfId="0" applyNumberFormat="1" applyFont="1" applyFill="1" applyBorder="1" applyAlignment="1">
      <alignment horizontal="center" vertical="center"/>
    </xf>
    <xf numFmtId="43" fontId="0" fillId="0" borderId="76" xfId="1" applyFont="1" applyBorder="1" applyAlignment="1">
      <alignment horizontal="left" vertical="center"/>
    </xf>
    <xf numFmtId="43" fontId="13" fillId="4" borderId="22" xfId="1" applyFont="1" applyFill="1" applyBorder="1" applyAlignment="1">
      <alignment horizontal="center" vertical="center" wrapText="1"/>
    </xf>
    <xf numFmtId="43" fontId="0" fillId="0" borderId="76" xfId="1" applyFont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top" wrapText="1"/>
    </xf>
    <xf numFmtId="164" fontId="10" fillId="0" borderId="77" xfId="1" applyNumberFormat="1" applyFont="1" applyFill="1" applyBorder="1" applyAlignment="1">
      <alignment horizontal="center" vertical="center" wrapText="1"/>
    </xf>
    <xf numFmtId="164" fontId="10" fillId="4" borderId="77" xfId="1" applyNumberFormat="1" applyFont="1" applyFill="1" applyBorder="1" applyAlignment="1">
      <alignment horizontal="center" vertical="center" wrapText="1"/>
    </xf>
    <xf numFmtId="164" fontId="10" fillId="4" borderId="38" xfId="1" applyNumberFormat="1" applyFont="1" applyFill="1" applyBorder="1" applyAlignment="1">
      <alignment horizontal="center" vertical="center" wrapText="1"/>
    </xf>
    <xf numFmtId="37" fontId="10" fillId="4" borderId="38" xfId="1" applyNumberFormat="1" applyFont="1" applyFill="1" applyBorder="1" applyAlignment="1">
      <alignment horizontal="center" vertical="center"/>
    </xf>
    <xf numFmtId="37" fontId="10" fillId="4" borderId="34" xfId="1" applyNumberFormat="1" applyFont="1" applyFill="1" applyBorder="1" applyAlignment="1">
      <alignment horizontal="center" vertical="center"/>
    </xf>
    <xf numFmtId="14" fontId="10" fillId="4" borderId="34" xfId="1" applyNumberFormat="1" applyFont="1" applyFill="1" applyBorder="1" applyAlignment="1">
      <alignment horizontal="center" vertical="center"/>
    </xf>
    <xf numFmtId="14" fontId="10" fillId="4" borderId="2" xfId="1" applyNumberFormat="1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vertical="center"/>
    </xf>
    <xf numFmtId="0" fontId="22" fillId="4" borderId="55" xfId="0" applyFont="1" applyFill="1" applyBorder="1" applyAlignment="1">
      <alignment horizontal="center" vertical="center"/>
    </xf>
    <xf numFmtId="164" fontId="13" fillId="0" borderId="78" xfId="1" applyNumberFormat="1" applyFont="1" applyFill="1" applyBorder="1" applyAlignment="1">
      <alignment horizontal="center" vertical="center"/>
    </xf>
    <xf numFmtId="164" fontId="24" fillId="0" borderId="78" xfId="1" applyNumberFormat="1" applyFont="1" applyFill="1" applyBorder="1" applyAlignment="1">
      <alignment horizontal="center" vertical="center"/>
    </xf>
    <xf numFmtId="164" fontId="13" fillId="4" borderId="78" xfId="1" applyNumberFormat="1" applyFont="1" applyFill="1" applyBorder="1" applyAlignment="1">
      <alignment vertical="center"/>
    </xf>
    <xf numFmtId="164" fontId="24" fillId="4" borderId="78" xfId="1" applyNumberFormat="1" applyFont="1" applyFill="1" applyBorder="1" applyAlignment="1">
      <alignment vertical="center"/>
    </xf>
    <xf numFmtId="164" fontId="13" fillId="4" borderId="78" xfId="1" applyNumberFormat="1" applyFont="1" applyFill="1" applyBorder="1" applyAlignment="1">
      <alignment horizontal="center" vertical="center"/>
    </xf>
    <xf numFmtId="164" fontId="24" fillId="4" borderId="78" xfId="1" applyNumberFormat="1" applyFont="1" applyFill="1" applyBorder="1" applyAlignment="1">
      <alignment horizontal="center" vertical="center"/>
    </xf>
    <xf numFmtId="164" fontId="13" fillId="4" borderId="79" xfId="1" applyNumberFormat="1" applyFont="1" applyFill="1" applyBorder="1" applyAlignment="1">
      <alignment horizontal="center" vertical="center"/>
    </xf>
    <xf numFmtId="43" fontId="42" fillId="4" borderId="80" xfId="1" applyNumberFormat="1" applyFont="1" applyFill="1" applyBorder="1" applyAlignment="1">
      <alignment horizontal="center" vertical="center"/>
    </xf>
    <xf numFmtId="164" fontId="13" fillId="0" borderId="81" xfId="1" applyNumberFormat="1" applyFont="1" applyFill="1" applyBorder="1" applyAlignment="1">
      <alignment horizontal="center" vertical="center"/>
    </xf>
    <xf numFmtId="164" fontId="24" fillId="0" borderId="81" xfId="1" applyNumberFormat="1" applyFont="1" applyFill="1" applyBorder="1" applyAlignment="1">
      <alignment horizontal="center" vertical="center"/>
    </xf>
    <xf numFmtId="164" fontId="13" fillId="4" borderId="81" xfId="1" applyNumberFormat="1" applyFont="1" applyFill="1" applyBorder="1" applyAlignment="1">
      <alignment vertical="center"/>
    </xf>
    <xf numFmtId="164" fontId="24" fillId="4" borderId="81" xfId="1" applyNumberFormat="1" applyFont="1" applyFill="1" applyBorder="1" applyAlignment="1">
      <alignment vertical="center"/>
    </xf>
    <xf numFmtId="164" fontId="13" fillId="4" borderId="81" xfId="1" applyNumberFormat="1" applyFont="1" applyFill="1" applyBorder="1" applyAlignment="1">
      <alignment horizontal="center" vertical="center"/>
    </xf>
    <xf numFmtId="164" fontId="24" fillId="4" borderId="81" xfId="1" applyNumberFormat="1" applyFont="1" applyFill="1" applyBorder="1" applyAlignment="1">
      <alignment horizontal="center" vertical="center"/>
    </xf>
    <xf numFmtId="164" fontId="13" fillId="4" borderId="69" xfId="1" applyNumberFormat="1" applyFont="1" applyFill="1" applyBorder="1" applyAlignment="1">
      <alignment horizontal="center" vertical="center"/>
    </xf>
    <xf numFmtId="43" fontId="42" fillId="4" borderId="82" xfId="1" applyNumberFormat="1" applyFont="1" applyFill="1" applyBorder="1" applyAlignment="1">
      <alignment horizontal="center" vertical="center"/>
    </xf>
    <xf numFmtId="164" fontId="13" fillId="0" borderId="69" xfId="1" applyNumberFormat="1" applyFont="1" applyFill="1" applyBorder="1" applyAlignment="1">
      <alignment horizontal="center" vertical="center"/>
    </xf>
    <xf numFmtId="164" fontId="13" fillId="4" borderId="69" xfId="1" applyNumberFormat="1" applyFont="1" applyFill="1" applyBorder="1" applyAlignment="1">
      <alignment vertical="center"/>
    </xf>
    <xf numFmtId="164" fontId="24" fillId="4" borderId="69" xfId="1" applyNumberFormat="1" applyFont="1" applyFill="1" applyBorder="1" applyAlignment="1">
      <alignment vertical="center"/>
    </xf>
    <xf numFmtId="164" fontId="24" fillId="4" borderId="69" xfId="1" applyNumberFormat="1" applyFont="1" applyFill="1" applyBorder="1" applyAlignment="1">
      <alignment horizontal="center" vertical="center"/>
    </xf>
    <xf numFmtId="165" fontId="24" fillId="4" borderId="83" xfId="1" applyNumberFormat="1" applyFont="1" applyFill="1" applyBorder="1" applyAlignment="1">
      <alignment horizontal="center" vertical="center"/>
    </xf>
    <xf numFmtId="165" fontId="24" fillId="0" borderId="83" xfId="1" applyNumberFormat="1" applyFont="1" applyFill="1" applyBorder="1" applyAlignment="1">
      <alignment horizontal="center" vertical="center"/>
    </xf>
    <xf numFmtId="164" fontId="24" fillId="0" borderId="83" xfId="1" applyNumberFormat="1" applyFont="1" applyFill="1" applyBorder="1" applyAlignment="1">
      <alignment horizontal="center" vertical="center"/>
    </xf>
    <xf numFmtId="164" fontId="24" fillId="4" borderId="83" xfId="1" applyNumberFormat="1" applyFont="1" applyFill="1" applyBorder="1" applyAlignment="1">
      <alignment horizontal="center" vertical="center"/>
    </xf>
    <xf numFmtId="164" fontId="24" fillId="4" borderId="84" xfId="1" applyNumberFormat="1" applyFont="1" applyFill="1" applyBorder="1" applyAlignment="1">
      <alignment horizontal="center" vertical="center"/>
    </xf>
    <xf numFmtId="164" fontId="42" fillId="4" borderId="85" xfId="1" applyNumberFormat="1" applyFont="1" applyFill="1" applyBorder="1" applyAlignment="1">
      <alignment horizontal="center" vertical="center"/>
    </xf>
    <xf numFmtId="0" fontId="22" fillId="4" borderId="86" xfId="0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left" vertical="center" wrapText="1"/>
    </xf>
    <xf numFmtId="164" fontId="13" fillId="11" borderId="79" xfId="1" applyNumberFormat="1" applyFont="1" applyFill="1" applyBorder="1" applyAlignment="1">
      <alignment horizontal="center" vertical="center"/>
    </xf>
    <xf numFmtId="164" fontId="12" fillId="4" borderId="79" xfId="1" applyNumberFormat="1" applyFont="1" applyFill="1" applyBorder="1" applyAlignment="1">
      <alignment horizontal="center" vertical="center"/>
    </xf>
    <xf numFmtId="0" fontId="22" fillId="4" borderId="87" xfId="0" applyFont="1" applyFill="1" applyBorder="1" applyAlignment="1">
      <alignment horizontal="center" vertical="center"/>
    </xf>
    <xf numFmtId="0" fontId="9" fillId="4" borderId="69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left" vertical="center" wrapText="1"/>
    </xf>
    <xf numFmtId="164" fontId="13" fillId="11" borderId="69" xfId="1" applyNumberFormat="1" applyFont="1" applyFill="1" applyBorder="1" applyAlignment="1">
      <alignment horizontal="center" vertical="center"/>
    </xf>
    <xf numFmtId="164" fontId="12" fillId="4" borderId="69" xfId="1" applyNumberFormat="1" applyFont="1" applyFill="1" applyBorder="1" applyAlignment="1">
      <alignment horizontal="center" vertical="center"/>
    </xf>
    <xf numFmtId="0" fontId="13" fillId="4" borderId="88" xfId="0" applyFont="1" applyFill="1" applyBorder="1" applyAlignment="1">
      <alignment horizontal="center" vertical="center"/>
    </xf>
    <xf numFmtId="0" fontId="22" fillId="4" borderId="84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vertical="center" wrapText="1"/>
    </xf>
    <xf numFmtId="165" fontId="24" fillId="11" borderId="84" xfId="1" applyNumberFormat="1" applyFont="1" applyFill="1" applyBorder="1" applyAlignment="1">
      <alignment horizontal="center" vertical="center"/>
    </xf>
    <xf numFmtId="165" fontId="24" fillId="4" borderId="84" xfId="1" applyNumberFormat="1" applyFont="1" applyFill="1" applyBorder="1" applyAlignment="1">
      <alignment horizontal="center" vertical="center"/>
    </xf>
    <xf numFmtId="164" fontId="0" fillId="0" borderId="84" xfId="1" applyNumberFormat="1" applyFont="1" applyBorder="1" applyAlignment="1">
      <alignment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43" fontId="12" fillId="0" borderId="1" xfId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43" fontId="10" fillId="0" borderId="1" xfId="1" applyNumberFormat="1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2" fontId="10" fillId="0" borderId="1" xfId="1" applyNumberFormat="1" applyFont="1" applyFill="1" applyBorder="1" applyAlignment="1">
      <alignment vertical="center"/>
    </xf>
    <xf numFmtId="43" fontId="20" fillId="0" borderId="2" xfId="0" applyNumberFormat="1" applyFont="1" applyFill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/>
    </xf>
    <xf numFmtId="164" fontId="3" fillId="0" borderId="71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43" fontId="4" fillId="0" borderId="0" xfId="1" applyFont="1"/>
    <xf numFmtId="165" fontId="9" fillId="17" borderId="28" xfId="1" applyNumberFormat="1" applyFont="1" applyFill="1" applyBorder="1" applyAlignment="1">
      <alignment horizontal="center" vertical="center"/>
    </xf>
    <xf numFmtId="165" fontId="9" fillId="22" borderId="5" xfId="0" applyNumberFormat="1" applyFont="1" applyFill="1" applyBorder="1" applyAlignment="1">
      <alignment horizontal="center" vertical="center"/>
    </xf>
    <xf numFmtId="165" fontId="10" fillId="4" borderId="38" xfId="1" applyNumberFormat="1" applyFont="1" applyFill="1" applyBorder="1" applyAlignment="1">
      <alignment horizontal="center" vertical="center"/>
    </xf>
    <xf numFmtId="165" fontId="10" fillId="0" borderId="38" xfId="1" applyNumberFormat="1" applyFont="1" applyFill="1" applyBorder="1" applyAlignment="1">
      <alignment horizontal="center" vertical="center"/>
    </xf>
    <xf numFmtId="165" fontId="11" fillId="14" borderId="11" xfId="1" applyNumberFormat="1" applyFont="1" applyFill="1" applyBorder="1" applyAlignment="1">
      <alignment horizontal="center" vertical="center"/>
    </xf>
    <xf numFmtId="165" fontId="9" fillId="14" borderId="11" xfId="1" applyNumberFormat="1" applyFont="1" applyFill="1" applyBorder="1" applyAlignment="1">
      <alignment horizontal="center" vertical="center"/>
    </xf>
    <xf numFmtId="43" fontId="13" fillId="4" borderId="1" xfId="1" applyNumberFormat="1" applyFont="1" applyFill="1" applyBorder="1" applyAlignment="1">
      <alignment vertical="center"/>
    </xf>
    <xf numFmtId="43" fontId="11" fillId="17" borderId="43" xfId="0" applyNumberFormat="1" applyFont="1" applyFill="1" applyBorder="1" applyAlignment="1">
      <alignment horizontal="center" vertical="center"/>
    </xf>
    <xf numFmtId="166" fontId="12" fillId="0" borderId="16" xfId="1" applyNumberFormat="1" applyFont="1" applyFill="1" applyBorder="1" applyAlignment="1">
      <alignment vertical="center"/>
    </xf>
    <xf numFmtId="166" fontId="12" fillId="0" borderId="1" xfId="1" applyNumberFormat="1" applyFont="1" applyFill="1" applyBorder="1" applyAlignment="1">
      <alignment vertical="center"/>
    </xf>
    <xf numFmtId="43" fontId="12" fillId="0" borderId="45" xfId="1" applyNumberFormat="1" applyFont="1" applyFill="1" applyBorder="1" applyAlignment="1">
      <alignment vertical="center"/>
    </xf>
    <xf numFmtId="43" fontId="12" fillId="0" borderId="79" xfId="1" applyNumberFormat="1" applyFont="1" applyFill="1" applyBorder="1" applyAlignment="1">
      <alignment vertical="center"/>
    </xf>
    <xf numFmtId="43" fontId="9" fillId="8" borderId="45" xfId="0" applyNumberFormat="1" applyFont="1" applyFill="1" applyBorder="1" applyAlignment="1">
      <alignment horizontal="center" vertical="center"/>
    </xf>
    <xf numFmtId="43" fontId="9" fillId="8" borderId="4" xfId="0" applyNumberFormat="1" applyFont="1" applyFill="1" applyBorder="1" applyAlignment="1">
      <alignment horizontal="center" vertical="center"/>
    </xf>
    <xf numFmtId="43" fontId="11" fillId="14" borderId="11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left" vertical="top" wrapText="1"/>
    </xf>
    <xf numFmtId="0" fontId="26" fillId="0" borderId="45" xfId="0" applyFont="1" applyFill="1" applyBorder="1" applyAlignment="1">
      <alignment horizontal="left" vertical="center" wrapText="1"/>
    </xf>
    <xf numFmtId="14" fontId="13" fillId="4" borderId="44" xfId="1" quotePrefix="1" applyNumberFormat="1" applyFont="1" applyFill="1" applyBorder="1" applyAlignment="1">
      <alignment horizontal="center" vertical="center" wrapText="1"/>
    </xf>
    <xf numFmtId="14" fontId="10" fillId="4" borderId="38" xfId="1" applyNumberFormat="1" applyFont="1" applyFill="1" applyBorder="1" applyAlignment="1">
      <alignment horizontal="center" vertical="center"/>
    </xf>
    <xf numFmtId="165" fontId="12" fillId="0" borderId="20" xfId="1" applyNumberFormat="1" applyFont="1" applyFill="1" applyBorder="1" applyAlignment="1">
      <alignment vertical="center"/>
    </xf>
    <xf numFmtId="0" fontId="4" fillId="0" borderId="0" xfId="0" applyFont="1"/>
    <xf numFmtId="165" fontId="10" fillId="0" borderId="89" xfId="1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/>
    <xf numFmtId="43" fontId="47" fillId="0" borderId="0" xfId="0" applyNumberFormat="1" applyFont="1"/>
    <xf numFmtId="0" fontId="48" fillId="0" borderId="0" xfId="0" applyFont="1" applyAlignment="1">
      <alignment vertical="center"/>
    </xf>
    <xf numFmtId="0" fontId="48" fillId="0" borderId="0" xfId="0" applyFont="1"/>
    <xf numFmtId="43" fontId="48" fillId="0" borderId="0" xfId="0" applyNumberFormat="1" applyFont="1"/>
    <xf numFmtId="43" fontId="48" fillId="0" borderId="0" xfId="1" applyFont="1" applyAlignment="1">
      <alignment vertical="center"/>
    </xf>
    <xf numFmtId="43" fontId="48" fillId="0" borderId="0" xfId="0" applyNumberFormat="1" applyFont="1" applyAlignment="1">
      <alignment vertical="center"/>
    </xf>
    <xf numFmtId="43" fontId="49" fillId="0" borderId="4" xfId="1" applyFont="1" applyBorder="1" applyAlignment="1">
      <alignment wrapText="1"/>
    </xf>
    <xf numFmtId="43" fontId="47" fillId="0" borderId="0" xfId="1" applyFont="1"/>
    <xf numFmtId="43" fontId="49" fillId="0" borderId="0" xfId="1" applyFont="1" applyBorder="1" applyAlignment="1">
      <alignment wrapText="1"/>
    </xf>
    <xf numFmtId="43" fontId="50" fillId="0" borderId="0" xfId="1" applyFont="1" applyBorder="1" applyAlignment="1">
      <alignment wrapText="1"/>
    </xf>
    <xf numFmtId="43" fontId="50" fillId="0" borderId="0" xfId="0" applyNumberFormat="1" applyFont="1" applyBorder="1" applyAlignment="1">
      <alignment wrapText="1"/>
    </xf>
    <xf numFmtId="164" fontId="4" fillId="0" borderId="0" xfId="0" applyNumberFormat="1" applyFont="1"/>
    <xf numFmtId="43" fontId="43" fillId="0" borderId="69" xfId="1" applyFont="1" applyFill="1" applyBorder="1" applyAlignment="1">
      <alignment horizontal="center" vertical="center"/>
    </xf>
    <xf numFmtId="43" fontId="43" fillId="0" borderId="0" xfId="1" applyFont="1" applyFill="1" applyBorder="1" applyAlignment="1">
      <alignment horizontal="center" vertical="center"/>
    </xf>
    <xf numFmtId="2" fontId="47" fillId="0" borderId="0" xfId="0" applyNumberFormat="1" applyFont="1"/>
    <xf numFmtId="164" fontId="47" fillId="0" borderId="0" xfId="0" applyNumberFormat="1" applyFont="1"/>
    <xf numFmtId="164" fontId="51" fillId="0" borderId="0" xfId="0" applyNumberFormat="1" applyFont="1"/>
    <xf numFmtId="164" fontId="42" fillId="4" borderId="45" xfId="1" applyNumberFormat="1" applyFont="1" applyFill="1" applyBorder="1" applyAlignment="1">
      <alignment vertical="center"/>
    </xf>
    <xf numFmtId="164" fontId="51" fillId="0" borderId="0" xfId="1" applyNumberFormat="1" applyFont="1" applyAlignment="1">
      <alignment vertical="center"/>
    </xf>
    <xf numFmtId="164" fontId="47" fillId="0" borderId="0" xfId="1" applyNumberFormat="1" applyFont="1"/>
    <xf numFmtId="43" fontId="47" fillId="0" borderId="0" xfId="1" applyNumberFormat="1" applyFont="1"/>
    <xf numFmtId="167" fontId="47" fillId="0" borderId="0" xfId="0" applyNumberFormat="1" applyFont="1"/>
    <xf numFmtId="43" fontId="13" fillId="4" borderId="22" xfId="1" applyNumberFormat="1" applyFont="1" applyFill="1" applyBorder="1" applyAlignment="1">
      <alignment horizontal="center" vertical="center"/>
    </xf>
    <xf numFmtId="43" fontId="9" fillId="5" borderId="5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52" fillId="0" borderId="4" xfId="1" applyFont="1" applyBorder="1" applyAlignment="1">
      <alignment wrapText="1"/>
    </xf>
    <xf numFmtId="43" fontId="53" fillId="0" borderId="4" xfId="1" applyFont="1" applyBorder="1" applyAlignment="1">
      <alignment wrapText="1"/>
    </xf>
    <xf numFmtId="43" fontId="53" fillId="0" borderId="4" xfId="0" applyNumberFormat="1" applyFont="1" applyBorder="1" applyAlignment="1">
      <alignment wrapText="1"/>
    </xf>
    <xf numFmtId="2" fontId="52" fillId="0" borderId="4" xfId="1" applyNumberFormat="1" applyFont="1" applyBorder="1" applyAlignment="1">
      <alignment wrapText="1"/>
    </xf>
    <xf numFmtId="2" fontId="53" fillId="0" borderId="4" xfId="1" applyNumberFormat="1" applyFont="1" applyBorder="1" applyAlignment="1">
      <alignment wrapText="1"/>
    </xf>
    <xf numFmtId="43" fontId="52" fillId="0" borderId="0" xfId="1" applyFont="1" applyBorder="1" applyAlignment="1">
      <alignment wrapText="1"/>
    </xf>
    <xf numFmtId="43" fontId="53" fillId="0" borderId="0" xfId="1" applyFont="1" applyBorder="1" applyAlignment="1">
      <alignment wrapText="1"/>
    </xf>
    <xf numFmtId="43" fontId="53" fillId="0" borderId="0" xfId="0" applyNumberFormat="1" applyFont="1" applyBorder="1" applyAlignment="1">
      <alignment wrapText="1"/>
    </xf>
    <xf numFmtId="164" fontId="10" fillId="0" borderId="69" xfId="1" applyNumberFormat="1" applyFont="1" applyFill="1" applyBorder="1" applyAlignment="1">
      <alignment horizontal="center" vertical="center"/>
    </xf>
    <xf numFmtId="164" fontId="10" fillId="0" borderId="75" xfId="1" applyNumberFormat="1" applyFont="1" applyFill="1" applyBorder="1" applyAlignment="1">
      <alignment horizontal="center" vertical="center"/>
    </xf>
    <xf numFmtId="43" fontId="9" fillId="17" borderId="28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164" fontId="9" fillId="6" borderId="0" xfId="0" applyNumberFormat="1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9" fillId="6" borderId="52" xfId="0" applyFont="1" applyFill="1" applyBorder="1" applyAlignment="1">
      <alignment horizontal="center" vertical="center"/>
    </xf>
    <xf numFmtId="0" fontId="9" fillId="8" borderId="51" xfId="0" applyFont="1" applyFill="1" applyBorder="1" applyAlignment="1">
      <alignment vertical="center"/>
    </xf>
    <xf numFmtId="0" fontId="9" fillId="8" borderId="34" xfId="0" applyFont="1" applyFill="1" applyBorder="1" applyAlignment="1">
      <alignment horizontal="left" vertical="center"/>
    </xf>
    <xf numFmtId="0" fontId="9" fillId="8" borderId="60" xfId="0" applyFont="1" applyFill="1" applyBorder="1" applyAlignment="1">
      <alignment horizontal="left" vertical="center"/>
    </xf>
    <xf numFmtId="43" fontId="10" fillId="8" borderId="1" xfId="0" applyNumberFormat="1" applyFont="1" applyFill="1" applyBorder="1" applyAlignment="1">
      <alignment horizontal="center" vertical="center"/>
    </xf>
    <xf numFmtId="0" fontId="9" fillId="6" borderId="105" xfId="0" applyFont="1" applyFill="1" applyBorder="1" applyAlignment="1">
      <alignment horizontal="center" vertical="center"/>
    </xf>
    <xf numFmtId="0" fontId="9" fillId="6" borderId="106" xfId="0" applyFont="1" applyFill="1" applyBorder="1" applyAlignment="1">
      <alignment vertical="center"/>
    </xf>
    <xf numFmtId="165" fontId="9" fillId="6" borderId="106" xfId="0" applyNumberFormat="1" applyFont="1" applyFill="1" applyBorder="1" applyAlignment="1">
      <alignment vertical="center"/>
    </xf>
    <xf numFmtId="0" fontId="10" fillId="6" borderId="106" xfId="0" applyFont="1" applyFill="1" applyBorder="1" applyAlignment="1">
      <alignment vertical="center"/>
    </xf>
    <xf numFmtId="164" fontId="9" fillId="6" borderId="106" xfId="0" applyNumberFormat="1" applyFont="1" applyFill="1" applyBorder="1" applyAlignment="1">
      <alignment vertical="center"/>
    </xf>
    <xf numFmtId="164" fontId="9" fillId="6" borderId="106" xfId="1" applyNumberFormat="1" applyFont="1" applyFill="1" applyBorder="1" applyAlignment="1">
      <alignment vertical="center"/>
    </xf>
    <xf numFmtId="165" fontId="9" fillId="6" borderId="107" xfId="0" applyNumberFormat="1" applyFont="1" applyFill="1" applyBorder="1" applyAlignment="1">
      <alignment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09" xfId="0" applyFont="1" applyFill="1" applyBorder="1" applyAlignment="1" applyProtection="1">
      <alignment vertical="center"/>
      <protection locked="0"/>
    </xf>
    <xf numFmtId="165" fontId="9" fillId="0" borderId="109" xfId="0" applyNumberFormat="1" applyFont="1" applyFill="1" applyBorder="1" applyAlignment="1" applyProtection="1">
      <alignment vertical="center"/>
      <protection locked="0"/>
    </xf>
    <xf numFmtId="0" fontId="10" fillId="0" borderId="109" xfId="0" applyFont="1" applyFill="1" applyBorder="1" applyAlignment="1" applyProtection="1">
      <alignment vertical="center"/>
      <protection locked="0"/>
    </xf>
    <xf numFmtId="43" fontId="10" fillId="0" borderId="109" xfId="0" applyNumberFormat="1" applyFont="1" applyFill="1" applyBorder="1" applyAlignment="1" applyProtection="1">
      <alignment vertical="center"/>
      <protection locked="0"/>
    </xf>
    <xf numFmtId="164" fontId="10" fillId="0" borderId="109" xfId="0" applyNumberFormat="1" applyFont="1" applyFill="1" applyBorder="1" applyAlignment="1" applyProtection="1">
      <alignment vertical="center"/>
      <protection locked="0"/>
    </xf>
    <xf numFmtId="164" fontId="10" fillId="0" borderId="109" xfId="1" applyNumberFormat="1" applyFont="1" applyFill="1" applyBorder="1" applyAlignment="1" applyProtection="1">
      <alignment vertical="center"/>
      <protection locked="0"/>
    </xf>
    <xf numFmtId="43" fontId="9" fillId="6" borderId="0" xfId="0" applyNumberFormat="1" applyFont="1" applyFill="1" applyBorder="1" applyAlignment="1">
      <alignment horizontal="center" vertical="center"/>
    </xf>
    <xf numFmtId="165" fontId="14" fillId="22" borderId="10" xfId="1" applyNumberFormat="1" applyFont="1" applyFill="1" applyBorder="1" applyAlignment="1">
      <alignment horizontal="center" vertical="center"/>
    </xf>
    <xf numFmtId="0" fontId="0" fillId="0" borderId="114" xfId="0" applyBorder="1"/>
    <xf numFmtId="0" fontId="0" fillId="0" borderId="115" xfId="0" applyBorder="1"/>
    <xf numFmtId="0" fontId="0" fillId="0" borderId="116" xfId="0" applyBorder="1"/>
    <xf numFmtId="0" fontId="0" fillId="0" borderId="117" xfId="0" applyBorder="1"/>
    <xf numFmtId="0" fontId="0" fillId="0" borderId="118" xfId="0" applyBorder="1"/>
    <xf numFmtId="0" fontId="0" fillId="0" borderId="119" xfId="0" applyBorder="1"/>
    <xf numFmtId="0" fontId="0" fillId="0" borderId="115" xfId="0" applyBorder="1" applyAlignment="1">
      <alignment horizontal="center"/>
    </xf>
    <xf numFmtId="0" fontId="41" fillId="0" borderId="112" xfId="0" applyFont="1" applyBorder="1"/>
    <xf numFmtId="0" fontId="41" fillId="0" borderId="115" xfId="0" applyFont="1" applyBorder="1"/>
    <xf numFmtId="0" fontId="0" fillId="0" borderId="112" xfId="0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41" fillId="0" borderId="111" xfId="0" applyFont="1" applyBorder="1" applyAlignment="1">
      <alignment horizontal="center"/>
    </xf>
    <xf numFmtId="0" fontId="41" fillId="0" borderId="114" xfId="0" applyFont="1" applyBorder="1" applyAlignment="1">
      <alignment horizontal="center"/>
    </xf>
    <xf numFmtId="0" fontId="35" fillId="0" borderId="110" xfId="0" applyFont="1" applyBorder="1" applyAlignment="1">
      <alignment horizontal="center" vertical="center"/>
    </xf>
    <xf numFmtId="43" fontId="13" fillId="4" borderId="45" xfId="1" applyFont="1" applyFill="1" applyBorder="1" applyAlignment="1">
      <alignment vertical="center"/>
    </xf>
    <xf numFmtId="43" fontId="22" fillId="13" borderId="45" xfId="1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left" vertical="top" wrapText="1"/>
    </xf>
    <xf numFmtId="0" fontId="26" fillId="0" borderId="4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164" fontId="45" fillId="0" borderId="0" xfId="0" applyNumberFormat="1" applyFont="1" applyAlignment="1">
      <alignment horizontal="center" wrapText="1"/>
    </xf>
    <xf numFmtId="0" fontId="4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" borderId="50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164" fontId="9" fillId="6" borderId="0" xfId="0" applyNumberFormat="1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left" vertical="center"/>
    </xf>
    <xf numFmtId="0" fontId="9" fillId="8" borderId="46" xfId="0" applyFont="1" applyFill="1" applyBorder="1" applyAlignment="1">
      <alignment horizontal="left" vertical="center"/>
    </xf>
    <xf numFmtId="0" fontId="14" fillId="3" borderId="3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9" fillId="8" borderId="27" xfId="0" applyFont="1" applyFill="1" applyBorder="1" applyAlignment="1">
      <alignment horizontal="left" vertical="center"/>
    </xf>
    <xf numFmtId="0" fontId="9" fillId="8" borderId="61" xfId="0" applyFont="1" applyFill="1" applyBorder="1" applyAlignment="1">
      <alignment horizontal="left" vertical="center"/>
    </xf>
    <xf numFmtId="0" fontId="14" fillId="14" borderId="12" xfId="0" applyFont="1" applyFill="1" applyBorder="1" applyAlignment="1">
      <alignment horizontal="left" vertical="center"/>
    </xf>
    <xf numFmtId="0" fontId="14" fillId="14" borderId="43" xfId="0" applyFont="1" applyFill="1" applyBorder="1" applyAlignment="1">
      <alignment horizontal="left" vertical="center"/>
    </xf>
    <xf numFmtId="164" fontId="23" fillId="0" borderId="58" xfId="0" applyNumberFormat="1" applyFont="1" applyBorder="1" applyAlignment="1">
      <alignment horizontal="center"/>
    </xf>
    <xf numFmtId="0" fontId="14" fillId="20" borderId="35" xfId="0" applyFont="1" applyFill="1" applyBorder="1" applyAlignment="1">
      <alignment horizontal="center" vertical="center" wrapText="1"/>
    </xf>
    <xf numFmtId="0" fontId="14" fillId="20" borderId="7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65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/>
    </xf>
    <xf numFmtId="0" fontId="36" fillId="7" borderId="43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horizontal="center" vertical="center" wrapText="1"/>
    </xf>
    <xf numFmtId="0" fontId="9" fillId="20" borderId="35" xfId="0" applyFont="1" applyFill="1" applyBorder="1" applyAlignment="1">
      <alignment horizontal="center" vertical="center" wrapText="1"/>
    </xf>
    <xf numFmtId="0" fontId="9" fillId="20" borderId="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2" fillId="6" borderId="28" xfId="0" applyFont="1" applyFill="1" applyBorder="1" applyAlignment="1">
      <alignment horizontal="left" vertical="center"/>
    </xf>
    <xf numFmtId="0" fontId="22" fillId="6" borderId="39" xfId="0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center" vertical="center" wrapText="1"/>
    </xf>
    <xf numFmtId="0" fontId="9" fillId="6" borderId="70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65" fontId="9" fillId="6" borderId="49" xfId="0" applyNumberFormat="1" applyFont="1" applyFill="1" applyBorder="1" applyAlignment="1">
      <alignment horizontal="center" vertical="center"/>
    </xf>
    <xf numFmtId="165" fontId="9" fillId="6" borderId="64" xfId="0" applyNumberFormat="1" applyFont="1" applyFill="1" applyBorder="1" applyAlignment="1">
      <alignment horizontal="center" vertical="center"/>
    </xf>
    <xf numFmtId="165" fontId="9" fillId="6" borderId="35" xfId="0" applyNumberFormat="1" applyFont="1" applyFill="1" applyBorder="1" applyAlignment="1">
      <alignment horizontal="center" vertical="center" wrapText="1"/>
    </xf>
    <xf numFmtId="165" fontId="9" fillId="6" borderId="7" xfId="0" applyNumberFormat="1" applyFont="1" applyFill="1" applyBorder="1" applyAlignment="1">
      <alignment horizontal="center" vertical="center" wrapText="1"/>
    </xf>
    <xf numFmtId="164" fontId="9" fillId="6" borderId="73" xfId="1" applyNumberFormat="1" applyFont="1" applyFill="1" applyBorder="1" applyAlignment="1">
      <alignment horizontal="center" vertical="center" wrapText="1"/>
    </xf>
    <xf numFmtId="164" fontId="9" fillId="6" borderId="9" xfId="1" applyNumberFormat="1" applyFont="1" applyFill="1" applyBorder="1" applyAlignment="1">
      <alignment horizontal="center" vertical="center" wrapText="1"/>
    </xf>
    <xf numFmtId="0" fontId="41" fillId="0" borderId="120" xfId="0" applyFont="1" applyBorder="1" applyAlignment="1">
      <alignment horizontal="left" vertical="top" wrapText="1"/>
    </xf>
    <xf numFmtId="0" fontId="41" fillId="0" borderId="121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/>
    </xf>
  </cellXfs>
  <cellStyles count="392">
    <cellStyle name="‡ - Style1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B" xfId="31"/>
    <cellStyle name="BAB 2" xfId="32"/>
    <cellStyle name="BAB 3" xfId="33"/>
    <cellStyle name="Bad 2" xfId="34"/>
    <cellStyle name="br" xfId="35"/>
    <cellStyle name="Calculation 2" xfId="36"/>
    <cellStyle name="Calculation 2 2" xfId="37"/>
    <cellStyle name="Calculation 2 3" xfId="38"/>
    <cellStyle name="Calculation 2_1.3.Back Up - COLD MILLING-REF" xfId="39"/>
    <cellStyle name="Check Cell 2" xfId="40"/>
    <cellStyle name="Comma" xfId="1" builtinId="3"/>
    <cellStyle name="Comma  - Style1" xfId="42"/>
    <cellStyle name="Comma  - Style2" xfId="43"/>
    <cellStyle name="Comma  - Style3" xfId="44"/>
    <cellStyle name="Comma  - Style4" xfId="45"/>
    <cellStyle name="Comma  - Style5" xfId="46"/>
    <cellStyle name="Comma  - Style6" xfId="47"/>
    <cellStyle name="Comma  - Style7" xfId="48"/>
    <cellStyle name="Comma  - Style8" xfId="49"/>
    <cellStyle name="Comma [0] 10" xfId="51"/>
    <cellStyle name="Comma [0] 10 2" xfId="52"/>
    <cellStyle name="Comma [0] 11" xfId="53"/>
    <cellStyle name="Comma [0] 12" xfId="54"/>
    <cellStyle name="Comma [0] 13" xfId="55"/>
    <cellStyle name="Comma [0] 14" xfId="56"/>
    <cellStyle name="Comma [0] 14 2" xfId="57"/>
    <cellStyle name="Comma [0] 15" xfId="58"/>
    <cellStyle name="Comma [0] 16" xfId="59"/>
    <cellStyle name="Comma [0] 17" xfId="50"/>
    <cellStyle name="Comma [0] 2" xfId="2"/>
    <cellStyle name="Comma [0] 2 10" xfId="61"/>
    <cellStyle name="Comma [0] 2 11" xfId="62"/>
    <cellStyle name="Comma [0] 2 12" xfId="63"/>
    <cellStyle name="Comma [0] 2 13" xfId="60"/>
    <cellStyle name="Comma [0] 2 2" xfId="64"/>
    <cellStyle name="Comma [0] 2 2 2" xfId="65"/>
    <cellStyle name="Comma [0] 2 2 3" xfId="66"/>
    <cellStyle name="Comma [0] 2 3" xfId="67"/>
    <cellStyle name="Comma [0] 2 4" xfId="68"/>
    <cellStyle name="Comma [0] 2 5" xfId="69"/>
    <cellStyle name="Comma [0] 2 6" xfId="70"/>
    <cellStyle name="Comma [0] 2 7" xfId="71"/>
    <cellStyle name="Comma [0] 2 8" xfId="72"/>
    <cellStyle name="Comma [0] 2 9" xfId="73"/>
    <cellStyle name="Comma [0] 3" xfId="74"/>
    <cellStyle name="Comma [0] 3 2" xfId="75"/>
    <cellStyle name="Comma [0] 3 3" xfId="76"/>
    <cellStyle name="Comma [0] 3 3 2" xfId="77"/>
    <cellStyle name="Comma [0] 3 3_1.3.Back Up - COLD MILLING-REF" xfId="78"/>
    <cellStyle name="Comma [0] 4" xfId="79"/>
    <cellStyle name="Comma [0] 4 2" xfId="80"/>
    <cellStyle name="Comma [0] 4 3" xfId="81"/>
    <cellStyle name="Comma [0] 5" xfId="82"/>
    <cellStyle name="Comma [0] 5 2" xfId="83"/>
    <cellStyle name="Comma [0] 5 3" xfId="84"/>
    <cellStyle name="Comma [0] 6" xfId="85"/>
    <cellStyle name="Comma [0] 6 2" xfId="86"/>
    <cellStyle name="Comma [0] 6 2 2" xfId="87"/>
    <cellStyle name="Comma [0] 6 3" xfId="88"/>
    <cellStyle name="Comma [0] 6_1.3.Back Up - COLD MILLING-REF" xfId="89"/>
    <cellStyle name="Comma [0] 7" xfId="90"/>
    <cellStyle name="Comma [0] 7 2" xfId="91"/>
    <cellStyle name="Comma [0] 7_1.3.Back Up - COLD MILLING-REF" xfId="92"/>
    <cellStyle name="Comma [0] 8" xfId="93"/>
    <cellStyle name="Comma [0] 8 2" xfId="94"/>
    <cellStyle name="Comma [0] 9" xfId="95"/>
    <cellStyle name="Comma [0] 9 2" xfId="96"/>
    <cellStyle name="Comma [0] 9 3" xfId="97"/>
    <cellStyle name="Comma [0] 9_1.3.Back Up - COLD MILLING-REF" xfId="98"/>
    <cellStyle name="Comma 10" xfId="99"/>
    <cellStyle name="Comma 10 2" xfId="100"/>
    <cellStyle name="Comma 11" xfId="101"/>
    <cellStyle name="Comma 11 2" xfId="102"/>
    <cellStyle name="Comma 11_1.3.Back Up - COLD MILLING-REF" xfId="103"/>
    <cellStyle name="Comma 12" xfId="104"/>
    <cellStyle name="Comma 12 2" xfId="105"/>
    <cellStyle name="Comma 12_1.3.Back Up - COLD MILLING-REF" xfId="106"/>
    <cellStyle name="Comma 13" xfId="107"/>
    <cellStyle name="Comma 13 2" xfId="108"/>
    <cellStyle name="Comma 13_1.3.Back Up - COLD MILLING-REF" xfId="109"/>
    <cellStyle name="Comma 14" xfId="110"/>
    <cellStyle name="Comma 15" xfId="111"/>
    <cellStyle name="Comma 15 2" xfId="112"/>
    <cellStyle name="Comma 16" xfId="113"/>
    <cellStyle name="Comma 16 2" xfId="114"/>
    <cellStyle name="Comma 17" xfId="115"/>
    <cellStyle name="Comma 17 2" xfId="116"/>
    <cellStyle name="Comma 17 3" xfId="117"/>
    <cellStyle name="Comma 18" xfId="118"/>
    <cellStyle name="Comma 19" xfId="119"/>
    <cellStyle name="Comma 19 2" xfId="120"/>
    <cellStyle name="Comma 19 2 2" xfId="121"/>
    <cellStyle name="Comma 2" xfId="122"/>
    <cellStyle name="Comma 2 2" xfId="123"/>
    <cellStyle name="Comma 2 2 2" xfId="124"/>
    <cellStyle name="Comma 2 2 3" xfId="125"/>
    <cellStyle name="Comma 2 3" xfId="126"/>
    <cellStyle name="Comma 2 3 2" xfId="127"/>
    <cellStyle name="Comma 2 3 3" xfId="128"/>
    <cellStyle name="Comma 2 3_1.7.Back Up - TALUD-BERKALA-100%" xfId="129"/>
    <cellStyle name="Comma 2 4" xfId="130"/>
    <cellStyle name="Comma 2 4 2" xfId="131"/>
    <cellStyle name="Comma 2 5" xfId="132"/>
    <cellStyle name="Comma 2_EFGH-SULUT JEMBATAN" xfId="133"/>
    <cellStyle name="Comma 20" xfId="134"/>
    <cellStyle name="Comma 21" xfId="135"/>
    <cellStyle name="Comma 22" xfId="136"/>
    <cellStyle name="Comma 23" xfId="137"/>
    <cellStyle name="Comma 24" xfId="138"/>
    <cellStyle name="Comma 25" xfId="139"/>
    <cellStyle name="Comma 26" xfId="140"/>
    <cellStyle name="Comma 27" xfId="141"/>
    <cellStyle name="Comma 28" xfId="142"/>
    <cellStyle name="Comma 29" xfId="143"/>
    <cellStyle name="Comma 3" xfId="144"/>
    <cellStyle name="Comma 3 2" xfId="145"/>
    <cellStyle name="Comma 3 3" xfId="146"/>
    <cellStyle name="Comma 3 4" xfId="147"/>
    <cellStyle name="Comma 30" xfId="148"/>
    <cellStyle name="Comma 31" xfId="149"/>
    <cellStyle name="Comma 32" xfId="150"/>
    <cellStyle name="Comma 33" xfId="41"/>
    <cellStyle name="Comma 34" xfId="391"/>
    <cellStyle name="Comma 4" xfId="151"/>
    <cellStyle name="Comma 4 2" xfId="152"/>
    <cellStyle name="Comma 5" xfId="153"/>
    <cellStyle name="Comma 5 2" xfId="154"/>
    <cellStyle name="Comma 5 3" xfId="155"/>
    <cellStyle name="Comma 5_Back up 02 meninting-senggigi" xfId="156"/>
    <cellStyle name="Comma 6" xfId="157"/>
    <cellStyle name="Comma 6 2" xfId="158"/>
    <cellStyle name="Comma 6 2 2" xfId="159"/>
    <cellStyle name="Comma 6 2 2 2" xfId="160"/>
    <cellStyle name="Comma 6 3" xfId="161"/>
    <cellStyle name="Comma 6 3 2" xfId="162"/>
    <cellStyle name="Comma 6 3 2 2" xfId="163"/>
    <cellStyle name="Comma 6_1.3.Back Up - COLD MILLING-REF" xfId="164"/>
    <cellStyle name="Comma 7" xfId="165"/>
    <cellStyle name="Comma 7 2" xfId="166"/>
    <cellStyle name="Comma 7 3" xfId="167"/>
    <cellStyle name="Comma 7_1.3.Back Up - COLD MILLING-REF" xfId="168"/>
    <cellStyle name="Comma 8" xfId="169"/>
    <cellStyle name="Comma 8 2" xfId="170"/>
    <cellStyle name="Comma 8 3" xfId="171"/>
    <cellStyle name="Comma 9" xfId="172"/>
    <cellStyle name="Comma 9 2" xfId="173"/>
    <cellStyle name="Comma 9 3" xfId="174"/>
    <cellStyle name="Comma0" xfId="175"/>
    <cellStyle name="Currency [0] 2" xfId="176"/>
    <cellStyle name="Currency [0] 3" xfId="177"/>
    <cellStyle name="Currency [0] 4" xfId="178"/>
    <cellStyle name="Currency 2" xfId="179"/>
    <cellStyle name="Currency 3" xfId="180"/>
    <cellStyle name="Currency0" xfId="181"/>
    <cellStyle name="Date" xfId="182"/>
    <cellStyle name="Date 2" xfId="183"/>
    <cellStyle name="Date 3" xfId="184"/>
    <cellStyle name="Date 4" xfId="185"/>
    <cellStyle name="Date_01. Lap. PPC Pustran2 cut off.........." xfId="186"/>
    <cellStyle name="Explanatory Text 2" xfId="187"/>
    <cellStyle name="f" xfId="188"/>
    <cellStyle name="F2" xfId="189"/>
    <cellStyle name="F3" xfId="190"/>
    <cellStyle name="F4" xfId="191"/>
    <cellStyle name="F5" xfId="192"/>
    <cellStyle name="F6" xfId="193"/>
    <cellStyle name="F7" xfId="194"/>
    <cellStyle name="F8" xfId="195"/>
    <cellStyle name="Fixed" xfId="196"/>
    <cellStyle name="Fixed 2" xfId="197"/>
    <cellStyle name="Fixed 3" xfId="198"/>
    <cellStyle name="Fixed 4" xfId="199"/>
    <cellStyle name="Fixed_01. Lap. PPC Pustran2 cut off.........." xfId="200"/>
    <cellStyle name="Good 2" xfId="201"/>
    <cellStyle name="Grey" xfId="202"/>
    <cellStyle name="Header1" xfId="203"/>
    <cellStyle name="Header2" xfId="204"/>
    <cellStyle name="Heading 1 2" xfId="205"/>
    <cellStyle name="Heading 2 2" xfId="206"/>
    <cellStyle name="Heading 3 2" xfId="207"/>
    <cellStyle name="Heading 3 2 2" xfId="208"/>
    <cellStyle name="Heading 4 2" xfId="209"/>
    <cellStyle name="Heading1" xfId="210"/>
    <cellStyle name="Heading1 1" xfId="211"/>
    <cellStyle name="Heading1 2" xfId="212"/>
    <cellStyle name="Heading1 3" xfId="213"/>
    <cellStyle name="Heading1 4" xfId="214"/>
    <cellStyle name="Heading1_01. Lap. PPC Pustran2 cut off.........." xfId="215"/>
    <cellStyle name="Heading2" xfId="216"/>
    <cellStyle name="Heading2 2" xfId="217"/>
    <cellStyle name="Heading2 3" xfId="218"/>
    <cellStyle name="Heading2 4" xfId="219"/>
    <cellStyle name="Heading2_01. Lap. PPC Pustran2 cut off.........." xfId="220"/>
    <cellStyle name="Hyperlink 2" xfId="221"/>
    <cellStyle name="Input [yellow]" xfId="222"/>
    <cellStyle name="Input [yellow] 2" xfId="223"/>
    <cellStyle name="Input [yellow] 3" xfId="224"/>
    <cellStyle name="Input 2" xfId="225"/>
    <cellStyle name="Input 2 2" xfId="226"/>
    <cellStyle name="Input 2 3" xfId="227"/>
    <cellStyle name="Input 2_1.3.Back Up - COLD MILLING-REF" xfId="228"/>
    <cellStyle name="Linked Cell 2" xfId="229"/>
    <cellStyle name="Linked Cell 2 2" xfId="230"/>
    <cellStyle name="Linked Cell 2 3" xfId="231"/>
    <cellStyle name="Linked Cell 2_1.3.Back Up - COLD MILLING-REF" xfId="232"/>
    <cellStyle name="lo" xfId="233"/>
    <cellStyle name="Milliers [0]_pldt" xfId="234"/>
    <cellStyle name="Milliers_pldt" xfId="235"/>
    <cellStyle name="Monétaire [0]_pldt" xfId="236"/>
    <cellStyle name="Monétaire_pldt" xfId="237"/>
    <cellStyle name="Neutral 2" xfId="238"/>
    <cellStyle name="no dec" xfId="239"/>
    <cellStyle name="Normal" xfId="0" builtinId="0"/>
    <cellStyle name="Normal - Style1" xfId="240"/>
    <cellStyle name="Normal - Style2" xfId="241"/>
    <cellStyle name="Normal - Style3" xfId="242"/>
    <cellStyle name="Normal - Style4" xfId="243"/>
    <cellStyle name="Normal - Style5" xfId="244"/>
    <cellStyle name="Normal - Style6" xfId="245"/>
    <cellStyle name="Normal - Style7" xfId="246"/>
    <cellStyle name="Normal - Style8" xfId="247"/>
    <cellStyle name="Normal (1)" xfId="248"/>
    <cellStyle name="Normal 10" xfId="249"/>
    <cellStyle name="Normal 10 2" xfId="250"/>
    <cellStyle name="Normal 10 2 2" xfId="251"/>
    <cellStyle name="Normal 10 2_1.2.Back Up - MORTAR BERKALA-100%" xfId="252"/>
    <cellStyle name="Normal 10 3" xfId="253"/>
    <cellStyle name="Normal 10 4" xfId="254"/>
    <cellStyle name="Normal 10_1.7.Back Up - TALUD-BERKALA-100%" xfId="255"/>
    <cellStyle name="Normal 11" xfId="256"/>
    <cellStyle name="Normal 11 2" xfId="257"/>
    <cellStyle name="Normal 11 3" xfId="258"/>
    <cellStyle name="Normal 11_1.2.Back Up - MORTAR BERKALA-100%" xfId="259"/>
    <cellStyle name="Normal 12" xfId="260"/>
    <cellStyle name="Normal 12 2" xfId="261"/>
    <cellStyle name="Normal 12_1.2.Back Up - MORTAR BERKALA-100%" xfId="262"/>
    <cellStyle name="Normal 13" xfId="263"/>
    <cellStyle name="Normal 13 2" xfId="264"/>
    <cellStyle name="Normal 13 3" xfId="265"/>
    <cellStyle name="Normal 13_1.3.Back Up - COLD MILLING-REF" xfId="266"/>
    <cellStyle name="Normal 14" xfId="267"/>
    <cellStyle name="Normal 14 2" xfId="268"/>
    <cellStyle name="Normal 15" xfId="269"/>
    <cellStyle name="Normal 16" xfId="270"/>
    <cellStyle name="Normal 17" xfId="271"/>
    <cellStyle name="Normal 18" xfId="272"/>
    <cellStyle name="Normal 19" xfId="273"/>
    <cellStyle name="Normal 2" xfId="3"/>
    <cellStyle name="Normal 2 10" xfId="275"/>
    <cellStyle name="Normal 2 11" xfId="276"/>
    <cellStyle name="Normal 2 12" xfId="274"/>
    <cellStyle name="Normal 2 2" xfId="277"/>
    <cellStyle name="Normal 2 2 2" xfId="278"/>
    <cellStyle name="Normal 2 2 2 2" xfId="279"/>
    <cellStyle name="Normal 2 2 2 3" xfId="280"/>
    <cellStyle name="Normal 2 2 2_1.2.Back Up - MORTAR BERKALA-100%" xfId="281"/>
    <cellStyle name="Normal 2 2 3" xfId="282"/>
    <cellStyle name="Normal 2 2_1.7.Back Up - TALUD-BERKALA-100%" xfId="283"/>
    <cellStyle name="Normal 2 3" xfId="284"/>
    <cellStyle name="Normal 2 3 2" xfId="285"/>
    <cellStyle name="Normal 2 3 2 2" xfId="286"/>
    <cellStyle name="Normal 2 3 2_1.2.Back Up - MORTAR BERKALA-100%" xfId="287"/>
    <cellStyle name="Normal 2 3_1.2.Back Up - MORTAR BERKALA-100%" xfId="288"/>
    <cellStyle name="Normal 2 4" xfId="289"/>
    <cellStyle name="Normal 2 5" xfId="290"/>
    <cellStyle name="Normal 2 6" xfId="291"/>
    <cellStyle name="Normal 2 7" xfId="292"/>
    <cellStyle name="Normal 2 8" xfId="293"/>
    <cellStyle name="Normal 2 9" xfId="294"/>
    <cellStyle name="Normal 2_01. Lap. PPC  cut off asli.........." xfId="295"/>
    <cellStyle name="Normal 20" xfId="296"/>
    <cellStyle name="Normal 20 2" xfId="297"/>
    <cellStyle name="Normal 20_1.2.Back Up - MORTAR BERKALA-100%" xfId="298"/>
    <cellStyle name="Normal 21" xfId="299"/>
    <cellStyle name="Normal 21 2" xfId="300"/>
    <cellStyle name="Normal 21_1.2.Back Up - MORTAR BERKALA-100%" xfId="301"/>
    <cellStyle name="Normal 22" xfId="4"/>
    <cellStyle name="Normal 22 2" xfId="302"/>
    <cellStyle name="Normal 23" xfId="303"/>
    <cellStyle name="Normal 24" xfId="304"/>
    <cellStyle name="Normal 25" xfId="305"/>
    <cellStyle name="Normal 26" xfId="306"/>
    <cellStyle name="Normal 27" xfId="307"/>
    <cellStyle name="Normal 28" xfId="308"/>
    <cellStyle name="Normal 29" xfId="309"/>
    <cellStyle name="Normal 3" xfId="310"/>
    <cellStyle name="Normal 3 2" xfId="311"/>
    <cellStyle name="Normal 3 2 2" xfId="312"/>
    <cellStyle name="Normal 3 2 3" xfId="313"/>
    <cellStyle name="Normal 3 2_1.3.Back Up - COLD MILLING-REF" xfId="314"/>
    <cellStyle name="Normal 3 3" xfId="315"/>
    <cellStyle name="Normal 3 4" xfId="316"/>
    <cellStyle name="Normal 3_1.2.Back Up - MORTAR BERKALA-100%" xfId="317"/>
    <cellStyle name="Normal 30" xfId="318"/>
    <cellStyle name="Normal 31" xfId="319"/>
    <cellStyle name="Normal 32" xfId="320"/>
    <cellStyle name="Normal 33" xfId="321"/>
    <cellStyle name="Normal 34" xfId="5"/>
    <cellStyle name="Normal 35" xfId="390"/>
    <cellStyle name="Normal 4" xfId="322"/>
    <cellStyle name="Normal 4 2" xfId="323"/>
    <cellStyle name="Normal 4_1.2.Back Up - MORTAR BERKALA-100%" xfId="324"/>
    <cellStyle name="Normal 5" xfId="325"/>
    <cellStyle name="Normal 5 2" xfId="326"/>
    <cellStyle name="Normal 5 3" xfId="327"/>
    <cellStyle name="Normal 5 4" xfId="328"/>
    <cellStyle name="Normal 5_1.3.Back Up - COLD MILLING-REF" xfId="329"/>
    <cellStyle name="Normal 6" xfId="330"/>
    <cellStyle name="Normal 6 2" xfId="331"/>
    <cellStyle name="Normal 6 3" xfId="332"/>
    <cellStyle name="Normal 6_1.2.Back Up - MORTAR BERKALA-100%" xfId="333"/>
    <cellStyle name="Normal 7" xfId="334"/>
    <cellStyle name="Normal 7 2" xfId="335"/>
    <cellStyle name="Normal 7_1.2.Back Up - MORTAR BERKALA-100%" xfId="336"/>
    <cellStyle name="Normal 8" xfId="337"/>
    <cellStyle name="Normal 8 2" xfId="338"/>
    <cellStyle name="Normal 8_1.2.Back Up - MORTAR BERKALA-100%" xfId="339"/>
    <cellStyle name="Normal 9" xfId="340"/>
    <cellStyle name="Normal 9 2" xfId="341"/>
    <cellStyle name="Normal 9 2 2" xfId="342"/>
    <cellStyle name="Normal 9 2_1.2.Back Up - MORTAR BERKALA-100%" xfId="343"/>
    <cellStyle name="Normal 9_1.2.Back Up - MORTAR BERKALA-100%" xfId="344"/>
    <cellStyle name="Normal02" xfId="345"/>
    <cellStyle name="Normal02 2" xfId="346"/>
    <cellStyle name="Normal02 3" xfId="347"/>
    <cellStyle name="Note 2" xfId="348"/>
    <cellStyle name="Note 2 2" xfId="349"/>
    <cellStyle name="Note 2 3" xfId="350"/>
    <cellStyle name="Note 2_1.2.Back Up - MORTAR BERKALA-100%" xfId="351"/>
    <cellStyle name="Output 2" xfId="352"/>
    <cellStyle name="Output 2 2" xfId="353"/>
    <cellStyle name="Output 2 3" xfId="354"/>
    <cellStyle name="Output 2_1.3.Back Up - COLD MILLING-REF" xfId="355"/>
    <cellStyle name="Paten 2" xfId="356"/>
    <cellStyle name="Percent [2]" xfId="357"/>
    <cellStyle name="Percent 10" xfId="358"/>
    <cellStyle name="Percent 10 2" xfId="359"/>
    <cellStyle name="Percent 11" xfId="360"/>
    <cellStyle name="Percent 12" xfId="361"/>
    <cellStyle name="Percent 13" xfId="362"/>
    <cellStyle name="Percent 14" xfId="363"/>
    <cellStyle name="Percent 15" xfId="364"/>
    <cellStyle name="Percent 2" xfId="365"/>
    <cellStyle name="Percent 2 2" xfId="366"/>
    <cellStyle name="Percent 2 3" xfId="367"/>
    <cellStyle name="Percent 2 4" xfId="368"/>
    <cellStyle name="Percent 3" xfId="369"/>
    <cellStyle name="Percent 3 2" xfId="370"/>
    <cellStyle name="Percent 4" xfId="371"/>
    <cellStyle name="Percent 5" xfId="372"/>
    <cellStyle name="Percent 5 2" xfId="373"/>
    <cellStyle name="Percent 6" xfId="374"/>
    <cellStyle name="Percent 7" xfId="375"/>
    <cellStyle name="Percent 8" xfId="376"/>
    <cellStyle name="Percent 9" xfId="377"/>
    <cellStyle name="sbr" xfId="378"/>
    <cellStyle name="slo" xfId="379"/>
    <cellStyle name="Style 1" xfId="380"/>
    <cellStyle name="t" xfId="381"/>
    <cellStyle name="TIKAWATI" xfId="382"/>
    <cellStyle name="Title 2" xfId="383"/>
    <cellStyle name="Total 2" xfId="384"/>
    <cellStyle name="Total 2 2" xfId="385"/>
    <cellStyle name="Total 2 3" xfId="386"/>
    <cellStyle name="Total 2_1.2.Back Up - MORTAR BERKALA-100%" xfId="387"/>
    <cellStyle name="Total 3" xfId="388"/>
    <cellStyle name="Warning Text 2" xfId="389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19/PRIM%202019/RUTIN%20PRIM%202019/Swakelola%20PRIM%202019/SHEDULLE%20swakelola%20p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19/PRIM%202019/RUTIN%20PRIM%202019/Swakelola%20PRIM%202019/LAPORAN%20RUTIN%20SWAKELOLAA/BUHARI/1.LAPORAN%20HAR+MING%20JULI%20%20RUT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OPER"/>
      <sheetName val="Schidulle GAB"/>
      <sheetName val="form lap keu"/>
      <sheetName val="REKAP"/>
      <sheetName val="RAB EDIT"/>
      <sheetName val="DAMIJA"/>
      <sheetName val="NOR.SAL"/>
      <sheetName val="GORONG2"/>
      <sheetName val="JEMBATAN"/>
      <sheetName val="CAT BOOG"/>
      <sheetName val="CAT RELLING"/>
      <sheetName val="TIMBUNAN"/>
      <sheetName val="PAS. BATU"/>
      <sheetName val="RABAT"/>
      <sheetName val="KLS S"/>
      <sheetName val="KLS A"/>
      <sheetName val="BURAS"/>
      <sheetName val="PATCHING"/>
      <sheetName val="GELOGOR"/>
      <sheetName val="BELJAGA"/>
      <sheetName val="BELBARU"/>
      <sheetName val="GUMISE"/>
      <sheetName val="KBNTALO"/>
      <sheetName val="GANJAR"/>
      <sheetName val="GARU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1">
          <cell r="F61">
            <v>1478708</v>
          </cell>
        </row>
      </sheetData>
      <sheetData sheetId="19">
        <row r="59">
          <cell r="F59">
            <v>0</v>
          </cell>
        </row>
        <row r="65">
          <cell r="F65">
            <v>53580095.689999998</v>
          </cell>
        </row>
      </sheetData>
      <sheetData sheetId="20"/>
      <sheetData sheetId="21"/>
      <sheetData sheetId="22">
        <row r="63">
          <cell r="F63">
            <v>54531931.134999998</v>
          </cell>
        </row>
      </sheetData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 LAP"/>
      <sheetName val="HAR FEB"/>
      <sheetName val="MINGG FEB"/>
      <sheetName val="BUL FEB"/>
      <sheetName val="HAR MAR"/>
      <sheetName val="MINGG MAR"/>
      <sheetName val="BUL MAR"/>
      <sheetName val="HAR APRIL"/>
      <sheetName val="MINGG APRIL"/>
      <sheetName val="BUL APRIL"/>
      <sheetName val="HAR MEI"/>
      <sheetName val="MINGG MEI"/>
      <sheetName val="BUL MEI"/>
      <sheetName val="HAR JUN"/>
      <sheetName val="MINGG JUN"/>
      <sheetName val="BULJUN"/>
      <sheetName val="coper"/>
      <sheetName val="Sheet3"/>
      <sheetName val="spks"/>
      <sheetName val="Sheet1"/>
    </sheetNames>
    <sheetDataSet>
      <sheetData sheetId="0"/>
      <sheetData sheetId="1"/>
      <sheetData sheetId="2"/>
      <sheetData sheetId="3"/>
      <sheetData sheetId="4"/>
      <sheetData sheetId="5">
        <row r="139">
          <cell r="U139">
            <v>10097</v>
          </cell>
        </row>
        <row r="140">
          <cell r="U140">
            <v>840.17499999999995</v>
          </cell>
        </row>
        <row r="149">
          <cell r="U149">
            <v>126525</v>
          </cell>
        </row>
        <row r="150">
          <cell r="U150">
            <v>8636.25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U37"/>
  <sheetViews>
    <sheetView view="pageBreakPreview" zoomScale="130" zoomScaleSheetLayoutView="130" workbookViewId="0">
      <selection activeCell="D33" sqref="D33"/>
    </sheetView>
  </sheetViews>
  <sheetFormatPr defaultRowHeight="12.75"/>
  <cols>
    <col min="1" max="1" width="1" customWidth="1"/>
    <col min="2" max="2" width="5.5703125" customWidth="1"/>
    <col min="3" max="3" width="7" customWidth="1"/>
    <col min="4" max="4" width="44.28515625" style="1" customWidth="1"/>
    <col min="5" max="5" width="9.85546875" customWidth="1"/>
    <col min="6" max="6" width="9.140625" customWidth="1"/>
    <col min="7" max="7" width="9.42578125" customWidth="1"/>
    <col min="8" max="8" width="18.7109375" customWidth="1"/>
    <col min="9" max="9" width="19.140625" customWidth="1"/>
    <col min="10" max="10" width="15.7109375" customWidth="1"/>
    <col min="11" max="11" width="15" customWidth="1"/>
    <col min="12" max="12" width="22.5703125" customWidth="1"/>
    <col min="13" max="13" width="10.42578125" customWidth="1"/>
    <col min="14" max="14" width="12.85546875" hidden="1" customWidth="1"/>
    <col min="15" max="15" width="10.85546875" customWidth="1"/>
    <col min="16" max="16" width="12.85546875" hidden="1" customWidth="1"/>
    <col min="17" max="17" width="12" customWidth="1"/>
    <col min="18" max="18" width="28.28515625" customWidth="1"/>
  </cols>
  <sheetData>
    <row r="1" spans="2:21" ht="7.5" customHeight="1">
      <c r="B1" s="17"/>
      <c r="C1" s="17"/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21" ht="22.5" customHeight="1">
      <c r="B2" s="524" t="s">
        <v>125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2"/>
      <c r="S2" s="2"/>
      <c r="T2" s="2"/>
      <c r="U2" s="2"/>
    </row>
    <row r="3" spans="2:21" ht="18">
      <c r="B3" s="525" t="s">
        <v>92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3"/>
      <c r="S3" s="3"/>
      <c r="T3" s="3"/>
      <c r="U3" s="3"/>
    </row>
    <row r="4" spans="2:21" ht="18">
      <c r="B4" s="526" t="s">
        <v>126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4"/>
      <c r="S4" s="4"/>
      <c r="T4" s="4"/>
      <c r="U4" s="4"/>
    </row>
    <row r="5" spans="2:21" ht="18"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4"/>
      <c r="S5" s="4"/>
      <c r="T5" s="4"/>
      <c r="U5" s="4"/>
    </row>
    <row r="6" spans="2:21" ht="18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4"/>
      <c r="S6" s="4"/>
      <c r="T6" s="4"/>
      <c r="U6" s="4"/>
    </row>
    <row r="7" spans="2:21" ht="18" customHeight="1" thickBot="1">
      <c r="B7" s="18"/>
      <c r="C7" s="18"/>
      <c r="D7" s="24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21" ht="31.15" customHeight="1">
      <c r="B8" s="527" t="s">
        <v>0</v>
      </c>
      <c r="C8" s="529" t="s">
        <v>9</v>
      </c>
      <c r="D8" s="529" t="s">
        <v>16</v>
      </c>
      <c r="E8" s="531" t="s">
        <v>71</v>
      </c>
      <c r="F8" s="532"/>
      <c r="G8" s="533"/>
      <c r="H8" s="531" t="s">
        <v>86</v>
      </c>
      <c r="I8" s="533"/>
      <c r="J8" s="514" t="s">
        <v>5</v>
      </c>
      <c r="K8" s="514" t="s">
        <v>6</v>
      </c>
      <c r="L8" s="514" t="s">
        <v>96</v>
      </c>
      <c r="M8" s="516" t="s">
        <v>17</v>
      </c>
      <c r="N8" s="517"/>
      <c r="O8" s="516" t="s">
        <v>21</v>
      </c>
      <c r="P8" s="517"/>
      <c r="Q8" s="522" t="s">
        <v>28</v>
      </c>
    </row>
    <row r="9" spans="2:21" ht="29.25" customHeight="1">
      <c r="B9" s="528"/>
      <c r="C9" s="530"/>
      <c r="D9" s="530"/>
      <c r="E9" s="247" t="s">
        <v>72</v>
      </c>
      <c r="F9" s="236" t="s">
        <v>69</v>
      </c>
      <c r="G9" s="236" t="s">
        <v>91</v>
      </c>
      <c r="H9" s="248" t="s">
        <v>87</v>
      </c>
      <c r="I9" s="249" t="s">
        <v>85</v>
      </c>
      <c r="J9" s="515"/>
      <c r="K9" s="515"/>
      <c r="L9" s="515"/>
      <c r="M9" s="518"/>
      <c r="N9" s="519"/>
      <c r="O9" s="518"/>
      <c r="P9" s="519"/>
      <c r="Q9" s="523"/>
    </row>
    <row r="10" spans="2:21" ht="15" customHeight="1">
      <c r="B10" s="5">
        <v>1</v>
      </c>
      <c r="C10" s="245">
        <v>2</v>
      </c>
      <c r="D10" s="6">
        <v>3</v>
      </c>
      <c r="E10" s="6">
        <v>4</v>
      </c>
      <c r="F10" s="276">
        <v>5</v>
      </c>
      <c r="G10" s="276">
        <v>6</v>
      </c>
      <c r="H10" s="276">
        <v>7</v>
      </c>
      <c r="I10" s="276">
        <v>8</v>
      </c>
      <c r="J10" s="276">
        <v>9</v>
      </c>
      <c r="K10" s="276">
        <v>10</v>
      </c>
      <c r="L10" s="276">
        <v>11</v>
      </c>
      <c r="M10" s="276">
        <v>12</v>
      </c>
      <c r="N10" s="276"/>
      <c r="O10" s="276">
        <v>13</v>
      </c>
      <c r="P10" s="276"/>
      <c r="Q10" s="7">
        <v>14</v>
      </c>
    </row>
    <row r="11" spans="2:21" ht="13.5" customHeight="1">
      <c r="B11" s="8"/>
      <c r="C11" s="27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</row>
    <row r="12" spans="2:21" ht="21" customHeight="1">
      <c r="B12" s="31" t="s">
        <v>14</v>
      </c>
      <c r="C12" s="19" t="s">
        <v>8</v>
      </c>
      <c r="D12" s="250"/>
      <c r="E12" s="20"/>
      <c r="F12" s="21"/>
      <c r="G12" s="21"/>
      <c r="H12" s="20"/>
      <c r="I12" s="20"/>
      <c r="J12" s="20"/>
      <c r="K12" s="20"/>
      <c r="L12" s="20"/>
      <c r="M12" s="20"/>
      <c r="N12" s="34"/>
      <c r="O12" s="34"/>
      <c r="P12" s="34"/>
      <c r="Q12" s="23"/>
    </row>
    <row r="13" spans="2:21" ht="9.75" customHeight="1">
      <c r="B13" s="13"/>
      <c r="C13" s="28"/>
      <c r="D13" s="14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5"/>
    </row>
    <row r="14" spans="2:21" ht="44.25" customHeight="1">
      <c r="B14" s="195">
        <v>1</v>
      </c>
      <c r="C14" s="246" t="s">
        <v>107</v>
      </c>
      <c r="D14" s="520" t="s">
        <v>108</v>
      </c>
      <c r="E14" s="242">
        <v>4.3</v>
      </c>
      <c r="F14" s="242">
        <v>27.98</v>
      </c>
      <c r="G14" s="242">
        <f>F14</f>
        <v>27.98</v>
      </c>
      <c r="H14" s="306">
        <v>10207000000</v>
      </c>
      <c r="I14" s="335">
        <v>9944592000</v>
      </c>
      <c r="J14" s="321" t="s">
        <v>109</v>
      </c>
      <c r="K14" s="321" t="s">
        <v>110</v>
      </c>
      <c r="L14" s="277" t="s">
        <v>130</v>
      </c>
      <c r="M14" s="253">
        <v>180</v>
      </c>
      <c r="N14" s="253">
        <v>530</v>
      </c>
      <c r="O14" s="278" t="s">
        <v>101</v>
      </c>
      <c r="P14" s="254">
        <v>42010</v>
      </c>
      <c r="Q14" s="336" t="s">
        <v>111</v>
      </c>
    </row>
    <row r="15" spans="2:21" ht="41.25" customHeight="1">
      <c r="B15" s="195"/>
      <c r="C15" s="246"/>
      <c r="D15" s="521"/>
      <c r="E15" s="242"/>
      <c r="F15" s="242"/>
      <c r="G15" s="242"/>
      <c r="H15" s="306"/>
      <c r="I15" s="335"/>
      <c r="J15" s="321"/>
      <c r="K15" s="321"/>
      <c r="L15" s="277" t="s">
        <v>140</v>
      </c>
      <c r="M15" s="253"/>
      <c r="N15" s="253">
        <v>530</v>
      </c>
      <c r="O15" s="254"/>
      <c r="P15" s="254">
        <v>42010</v>
      </c>
      <c r="Q15" s="255"/>
    </row>
    <row r="16" spans="2:21" ht="31.5" customHeight="1">
      <c r="B16" s="195"/>
      <c r="C16" s="246"/>
      <c r="D16" s="419"/>
      <c r="E16" s="422">
        <f>2.051+2.199</f>
        <v>4.25</v>
      </c>
      <c r="F16" s="422">
        <v>27.779</v>
      </c>
      <c r="G16" s="242">
        <f>F16</f>
        <v>27.779</v>
      </c>
      <c r="H16" s="306">
        <v>10207000000</v>
      </c>
      <c r="I16" s="335">
        <f>H16</f>
        <v>10207000000</v>
      </c>
      <c r="J16" s="321" t="s">
        <v>109</v>
      </c>
      <c r="K16" s="321" t="s">
        <v>110</v>
      </c>
      <c r="L16" s="277" t="s">
        <v>131</v>
      </c>
      <c r="M16" s="253"/>
      <c r="N16" s="253"/>
      <c r="O16" s="254"/>
      <c r="P16" s="254"/>
      <c r="Q16" s="255"/>
    </row>
    <row r="17" spans="2:17" ht="21.75" customHeight="1">
      <c r="B17" s="195"/>
      <c r="C17" s="246"/>
      <c r="D17" s="30"/>
      <c r="E17" s="242"/>
      <c r="F17" s="242"/>
      <c r="G17" s="242"/>
      <c r="H17" s="251"/>
      <c r="I17" s="335"/>
      <c r="J17" s="252"/>
      <c r="K17" s="252"/>
      <c r="L17" s="420" t="s">
        <v>141</v>
      </c>
      <c r="M17" s="253"/>
      <c r="N17" s="253"/>
      <c r="O17" s="254"/>
      <c r="P17" s="254"/>
      <c r="Q17" s="255"/>
    </row>
    <row r="18" spans="2:17" ht="45.75" customHeight="1">
      <c r="B18" s="195">
        <v>2</v>
      </c>
      <c r="C18" s="246" t="s">
        <v>113</v>
      </c>
      <c r="D18" s="512" t="s">
        <v>112</v>
      </c>
      <c r="E18" s="242">
        <v>6.4710000000000001</v>
      </c>
      <c r="F18" s="242">
        <v>22.881</v>
      </c>
      <c r="G18" s="242">
        <f>F18</f>
        <v>22.881</v>
      </c>
      <c r="H18" s="306">
        <v>18072000000</v>
      </c>
      <c r="I18" s="335">
        <v>17616271000</v>
      </c>
      <c r="J18" s="280" t="s">
        <v>102</v>
      </c>
      <c r="K18" s="321" t="s">
        <v>114</v>
      </c>
      <c r="L18" s="277" t="s">
        <v>133</v>
      </c>
      <c r="M18" s="253">
        <v>180</v>
      </c>
      <c r="N18" s="253">
        <f t="shared" ref="N18" si="0">M18-8</f>
        <v>172</v>
      </c>
      <c r="O18" s="278" t="s">
        <v>101</v>
      </c>
      <c r="P18" s="254">
        <v>42010</v>
      </c>
      <c r="Q18" s="336" t="s">
        <v>111</v>
      </c>
    </row>
    <row r="19" spans="2:17" ht="27.75" customHeight="1">
      <c r="B19" s="195"/>
      <c r="C19" s="246"/>
      <c r="D19" s="513"/>
      <c r="E19" s="242"/>
      <c r="F19" s="242"/>
      <c r="G19" s="242"/>
      <c r="H19" s="256"/>
      <c r="I19" s="257"/>
      <c r="J19" s="252"/>
      <c r="K19" s="252"/>
      <c r="L19" s="277" t="s">
        <v>140</v>
      </c>
      <c r="M19" s="253"/>
      <c r="N19" s="253"/>
      <c r="O19" s="254"/>
      <c r="P19" s="254">
        <v>42010</v>
      </c>
      <c r="Q19" s="255"/>
    </row>
    <row r="20" spans="2:17" ht="36" customHeight="1">
      <c r="B20" s="195"/>
      <c r="C20" s="246"/>
      <c r="D20" s="418"/>
      <c r="E20" s="422">
        <v>6.4889999999999999</v>
      </c>
      <c r="F20" s="422">
        <v>23.402999999999999</v>
      </c>
      <c r="G20" s="242">
        <f>F20</f>
        <v>23.402999999999999</v>
      </c>
      <c r="H20" s="306">
        <v>18072000000</v>
      </c>
      <c r="I20" s="335">
        <f>H20</f>
        <v>18072000000</v>
      </c>
      <c r="J20" s="280" t="s">
        <v>102</v>
      </c>
      <c r="K20" s="321" t="s">
        <v>114</v>
      </c>
      <c r="L20" s="277" t="s">
        <v>132</v>
      </c>
      <c r="M20" s="253"/>
      <c r="N20" s="253"/>
      <c r="O20" s="421"/>
      <c r="P20" s="254"/>
      <c r="Q20" s="255"/>
    </row>
    <row r="21" spans="2:17" ht="22.5" customHeight="1">
      <c r="B21" s="195"/>
      <c r="C21" s="246"/>
      <c r="D21" s="30"/>
      <c r="E21" s="242"/>
      <c r="F21" s="242"/>
      <c r="G21" s="242"/>
      <c r="H21" s="251"/>
      <c r="I21" s="251"/>
      <c r="J21" s="252"/>
      <c r="K21" s="252"/>
      <c r="L21" s="420" t="s">
        <v>141</v>
      </c>
      <c r="M21" s="253"/>
      <c r="N21" s="253"/>
      <c r="O21" s="278"/>
      <c r="P21" s="254"/>
      <c r="Q21" s="300"/>
    </row>
    <row r="22" spans="2:17" ht="47.25" customHeight="1">
      <c r="B22" s="195">
        <v>3</v>
      </c>
      <c r="C22" s="246" t="s">
        <v>116</v>
      </c>
      <c r="D22" s="512" t="s">
        <v>115</v>
      </c>
      <c r="E22" s="242">
        <v>3.2</v>
      </c>
      <c r="F22" s="242">
        <v>23.5</v>
      </c>
      <c r="G22" s="242">
        <f>F22</f>
        <v>23.5</v>
      </c>
      <c r="H22" s="337">
        <v>12057100000</v>
      </c>
      <c r="I22" s="337">
        <v>11569999000</v>
      </c>
      <c r="J22" s="280" t="s">
        <v>103</v>
      </c>
      <c r="K22" s="321" t="s">
        <v>110</v>
      </c>
      <c r="L22" s="277" t="s">
        <v>134</v>
      </c>
      <c r="M22" s="253">
        <v>180</v>
      </c>
      <c r="N22" s="253">
        <f t="shared" ref="N22" si="1">M22-8</f>
        <v>172</v>
      </c>
      <c r="O22" s="278" t="s">
        <v>101</v>
      </c>
      <c r="P22" s="254">
        <v>42010</v>
      </c>
      <c r="Q22" s="336" t="s">
        <v>111</v>
      </c>
    </row>
    <row r="23" spans="2:17" ht="28.5" customHeight="1">
      <c r="B23" s="195"/>
      <c r="C23" s="246"/>
      <c r="D23" s="513"/>
      <c r="E23" s="242"/>
      <c r="F23" s="242"/>
      <c r="G23" s="242"/>
      <c r="H23" s="256"/>
      <c r="I23" s="257"/>
      <c r="J23" s="252"/>
      <c r="K23" s="252"/>
      <c r="L23" s="277" t="s">
        <v>140</v>
      </c>
      <c r="M23" s="253"/>
      <c r="N23" s="253"/>
      <c r="O23" s="254"/>
      <c r="P23" s="254">
        <v>42010</v>
      </c>
      <c r="Q23" s="255"/>
    </row>
    <row r="24" spans="2:17" ht="38.25" customHeight="1">
      <c r="B24" s="338"/>
      <c r="C24" s="312"/>
      <c r="D24" s="339"/>
      <c r="E24" s="422">
        <v>3.1909999999999998</v>
      </c>
      <c r="F24" s="422">
        <v>23.616</v>
      </c>
      <c r="G24" s="242">
        <f>F24</f>
        <v>23.616</v>
      </c>
      <c r="H24" s="337">
        <v>12057100000</v>
      </c>
      <c r="I24" s="335">
        <f>H24</f>
        <v>12057100000</v>
      </c>
      <c r="J24" s="280" t="s">
        <v>103</v>
      </c>
      <c r="K24" s="321" t="s">
        <v>110</v>
      </c>
      <c r="L24" s="277" t="s">
        <v>135</v>
      </c>
      <c r="M24" s="343"/>
      <c r="N24" s="344"/>
      <c r="O24" s="345"/>
      <c r="P24" s="345"/>
      <c r="Q24" s="346"/>
    </row>
    <row r="25" spans="2:17" ht="21" customHeight="1">
      <c r="B25" s="338"/>
      <c r="C25" s="312"/>
      <c r="D25" s="339"/>
      <c r="E25" s="314"/>
      <c r="F25" s="314"/>
      <c r="G25" s="314"/>
      <c r="H25" s="340"/>
      <c r="I25" s="341"/>
      <c r="J25" s="342"/>
      <c r="K25" s="342"/>
      <c r="L25" s="420" t="s">
        <v>141</v>
      </c>
      <c r="M25" s="343"/>
      <c r="N25" s="344"/>
      <c r="O25" s="345"/>
      <c r="P25" s="345"/>
      <c r="Q25" s="346"/>
    </row>
    <row r="26" spans="2:17" ht="46.5" customHeight="1">
      <c r="B26" s="195">
        <v>4</v>
      </c>
      <c r="C26" s="246" t="s">
        <v>117</v>
      </c>
      <c r="D26" s="512" t="s">
        <v>118</v>
      </c>
      <c r="E26" s="242">
        <v>3</v>
      </c>
      <c r="F26" s="242">
        <v>31.6</v>
      </c>
      <c r="G26" s="242">
        <f>F26</f>
        <v>31.6</v>
      </c>
      <c r="H26" s="337">
        <v>9419900000</v>
      </c>
      <c r="I26" s="337">
        <v>8967055000</v>
      </c>
      <c r="J26" s="280" t="s">
        <v>119</v>
      </c>
      <c r="K26" s="321" t="s">
        <v>114</v>
      </c>
      <c r="L26" s="277" t="s">
        <v>137</v>
      </c>
      <c r="M26" s="253">
        <v>180</v>
      </c>
      <c r="N26" s="253">
        <f t="shared" ref="N26" si="2">M26-8</f>
        <v>172</v>
      </c>
      <c r="O26" s="278" t="s">
        <v>101</v>
      </c>
      <c r="P26" s="254">
        <v>42010</v>
      </c>
      <c r="Q26" s="336" t="s">
        <v>111</v>
      </c>
    </row>
    <row r="27" spans="2:17" ht="29.25" customHeight="1">
      <c r="B27" s="195"/>
      <c r="C27" s="246"/>
      <c r="D27" s="513"/>
      <c r="E27" s="242"/>
      <c r="F27" s="242"/>
      <c r="G27" s="242"/>
      <c r="H27" s="256"/>
      <c r="I27" s="257"/>
      <c r="J27" s="252"/>
      <c r="K27" s="252"/>
      <c r="L27" s="277" t="s">
        <v>140</v>
      </c>
      <c r="M27" s="253"/>
      <c r="N27" s="253"/>
      <c r="O27" s="254"/>
      <c r="P27" s="254">
        <v>42010</v>
      </c>
      <c r="Q27" s="255"/>
    </row>
    <row r="28" spans="2:17" ht="38.25" customHeight="1">
      <c r="B28" s="338"/>
      <c r="C28" s="312"/>
      <c r="D28" s="339"/>
      <c r="E28" s="422">
        <v>3</v>
      </c>
      <c r="F28" s="422">
        <v>31.6</v>
      </c>
      <c r="G28" s="242">
        <f>F28</f>
        <v>31.6</v>
      </c>
      <c r="H28" s="337">
        <v>9419900000</v>
      </c>
      <c r="I28" s="335">
        <f>H28</f>
        <v>9419900000</v>
      </c>
      <c r="J28" s="280" t="s">
        <v>119</v>
      </c>
      <c r="K28" s="321" t="s">
        <v>114</v>
      </c>
      <c r="L28" s="277" t="s">
        <v>136</v>
      </c>
      <c r="M28" s="343"/>
      <c r="N28" s="344"/>
      <c r="O28" s="345"/>
      <c r="P28" s="345"/>
      <c r="Q28" s="346"/>
    </row>
    <row r="29" spans="2:17" ht="25.5" customHeight="1">
      <c r="B29" s="338"/>
      <c r="C29" s="312"/>
      <c r="D29" s="339"/>
      <c r="E29" s="314"/>
      <c r="F29" s="314"/>
      <c r="G29" s="314"/>
      <c r="H29" s="340"/>
      <c r="I29" s="341"/>
      <c r="J29" s="342"/>
      <c r="K29" s="342"/>
      <c r="L29" s="420" t="s">
        <v>141</v>
      </c>
      <c r="M29" s="343"/>
      <c r="N29" s="344"/>
      <c r="O29" s="345"/>
      <c r="P29" s="345"/>
      <c r="Q29" s="346"/>
    </row>
    <row r="30" spans="2:17" ht="46.5" customHeight="1">
      <c r="B30" s="195">
        <v>5</v>
      </c>
      <c r="C30" s="246" t="s">
        <v>120</v>
      </c>
      <c r="D30" s="512" t="s">
        <v>121</v>
      </c>
      <c r="E30" s="242">
        <v>6.5</v>
      </c>
      <c r="F30" s="242">
        <v>16.96</v>
      </c>
      <c r="G30" s="242">
        <f>F30</f>
        <v>16.96</v>
      </c>
      <c r="H30" s="337">
        <v>19368000000</v>
      </c>
      <c r="I30" s="337">
        <v>18951594000</v>
      </c>
      <c r="J30" s="280" t="s">
        <v>122</v>
      </c>
      <c r="K30" s="321" t="s">
        <v>110</v>
      </c>
      <c r="L30" s="277" t="s">
        <v>139</v>
      </c>
      <c r="M30" s="253">
        <v>180</v>
      </c>
      <c r="N30" s="253">
        <f t="shared" ref="N30" si="3">M30-8</f>
        <v>172</v>
      </c>
      <c r="O30" s="278" t="s">
        <v>101</v>
      </c>
      <c r="P30" s="254">
        <v>42010</v>
      </c>
      <c r="Q30" s="336" t="s">
        <v>111</v>
      </c>
    </row>
    <row r="31" spans="2:17" ht="31.5" customHeight="1">
      <c r="B31" s="195"/>
      <c r="C31" s="246"/>
      <c r="D31" s="513"/>
      <c r="E31" s="242"/>
      <c r="F31" s="242"/>
      <c r="G31" s="242"/>
      <c r="H31" s="256"/>
      <c r="I31" s="257"/>
      <c r="J31" s="252"/>
      <c r="K31" s="252"/>
      <c r="L31" s="277" t="s">
        <v>140</v>
      </c>
      <c r="M31" s="253"/>
      <c r="N31" s="253"/>
      <c r="O31" s="254"/>
      <c r="P31" s="254">
        <v>42010</v>
      </c>
      <c r="Q31" s="255"/>
    </row>
    <row r="32" spans="2:17" ht="36.75" customHeight="1">
      <c r="B32" s="338"/>
      <c r="C32" s="312"/>
      <c r="D32" s="339"/>
      <c r="E32" s="422">
        <v>6.5069999999999997</v>
      </c>
      <c r="F32" s="422">
        <v>16.931000000000001</v>
      </c>
      <c r="G32" s="242">
        <f>F32</f>
        <v>16.931000000000001</v>
      </c>
      <c r="H32" s="337">
        <v>19368000000</v>
      </c>
      <c r="I32" s="335">
        <f>H32</f>
        <v>19368000000</v>
      </c>
      <c r="J32" s="280" t="s">
        <v>122</v>
      </c>
      <c r="K32" s="321" t="s">
        <v>110</v>
      </c>
      <c r="L32" s="277" t="s">
        <v>138</v>
      </c>
      <c r="M32" s="343"/>
      <c r="N32" s="344"/>
      <c r="O32" s="345"/>
      <c r="P32" s="345"/>
      <c r="Q32" s="346"/>
    </row>
    <row r="33" spans="2:17" ht="22.5" customHeight="1">
      <c r="B33" s="258"/>
      <c r="C33" s="209"/>
      <c r="D33" s="229"/>
      <c r="E33" s="221"/>
      <c r="F33" s="221"/>
      <c r="G33" s="221"/>
      <c r="H33" s="259"/>
      <c r="I33" s="260"/>
      <c r="J33" s="260"/>
      <c r="K33" s="260"/>
      <c r="L33" s="420" t="s">
        <v>141</v>
      </c>
      <c r="M33" s="261"/>
      <c r="N33" s="262"/>
      <c r="O33" s="262"/>
      <c r="P33" s="262"/>
      <c r="Q33" s="263"/>
    </row>
    <row r="34" spans="2:17" ht="30.75" customHeight="1" thickBot="1">
      <c r="B34" s="264"/>
      <c r="C34" s="265"/>
      <c r="D34" s="266" t="s">
        <v>7</v>
      </c>
      <c r="E34" s="267">
        <f>E16+E20+E24+E28+E32</f>
        <v>23.436999999999998</v>
      </c>
      <c r="F34" s="267">
        <f>F16+F20+F24+F28+F32</f>
        <v>123.32899999999999</v>
      </c>
      <c r="G34" s="267">
        <f>G16+G20+G24+G28+G32</f>
        <v>123.32899999999999</v>
      </c>
      <c r="H34" s="268">
        <f>H14+H18+H22+H26+H30</f>
        <v>69124000000</v>
      </c>
      <c r="I34" s="268">
        <f>I14+I18+I22+I26+I30</f>
        <v>67049511000</v>
      </c>
      <c r="J34" s="268"/>
      <c r="K34" s="269"/>
      <c r="L34" s="269"/>
      <c r="M34" s="269"/>
      <c r="N34" s="269"/>
      <c r="O34" s="269"/>
      <c r="P34" s="269"/>
      <c r="Q34" s="270"/>
    </row>
    <row r="35" spans="2:17" ht="9.75" customHeight="1"/>
    <row r="37" spans="2:17" ht="21" customHeight="1" thickBot="1">
      <c r="I37" s="35">
        <f>H34-I34</f>
        <v>2074489000</v>
      </c>
      <c r="J37" s="238">
        <f>1082142000/3366900000*100</f>
        <v>32.140604116546378</v>
      </c>
      <c r="K37" s="26"/>
    </row>
  </sheetData>
  <mergeCells count="19">
    <mergeCell ref="O8:P9"/>
    <mergeCell ref="Q8:Q9"/>
    <mergeCell ref="B2:Q2"/>
    <mergeCell ref="B3:Q3"/>
    <mergeCell ref="B4:Q4"/>
    <mergeCell ref="B8:B9"/>
    <mergeCell ref="C8:C9"/>
    <mergeCell ref="D8:D9"/>
    <mergeCell ref="E8:G8"/>
    <mergeCell ref="H8:I8"/>
    <mergeCell ref="J8:J9"/>
    <mergeCell ref="K8:K9"/>
    <mergeCell ref="D22:D23"/>
    <mergeCell ref="L8:L9"/>
    <mergeCell ref="M8:N9"/>
    <mergeCell ref="D26:D27"/>
    <mergeCell ref="D30:D31"/>
    <mergeCell ref="D14:D15"/>
    <mergeCell ref="D18:D19"/>
  </mergeCells>
  <printOptions horizontalCentered="1"/>
  <pageMargins left="0.3" right="0" top="0.3" bottom="0" header="0.34" footer="0.14000000000000001"/>
  <pageSetup paperSize="9" scale="67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K92"/>
  <sheetViews>
    <sheetView tabSelected="1" view="pageBreakPreview" topLeftCell="A25" zoomScaleSheetLayoutView="100" workbookViewId="0">
      <selection activeCell="F38" sqref="F38"/>
    </sheetView>
  </sheetViews>
  <sheetFormatPr defaultRowHeight="12.75"/>
  <cols>
    <col min="1" max="1" width="1.140625" customWidth="1"/>
    <col min="2" max="2" width="5" customWidth="1"/>
    <col min="3" max="3" width="7" customWidth="1"/>
    <col min="4" max="4" width="46.7109375" style="1" customWidth="1"/>
    <col min="5" max="5" width="8.7109375" customWidth="1"/>
    <col min="6" max="6" width="10" customWidth="1"/>
    <col min="7" max="7" width="20.5703125" customWidth="1"/>
    <col min="8" max="8" width="19.28515625" customWidth="1"/>
    <col min="9" max="9" width="19.85546875" customWidth="1"/>
    <col min="10" max="10" width="9.28515625" customWidth="1"/>
    <col min="11" max="11" width="8.5703125" hidden="1" customWidth="1"/>
    <col min="12" max="12" width="9.42578125" hidden="1" customWidth="1"/>
    <col min="13" max="13" width="10" hidden="1" customWidth="1"/>
    <col min="14" max="14" width="8.85546875" hidden="1" customWidth="1"/>
    <col min="15" max="15" width="15.7109375" hidden="1" customWidth="1"/>
    <col min="16" max="16" width="7.85546875" hidden="1" customWidth="1"/>
    <col min="17" max="17" width="10" hidden="1" customWidth="1"/>
    <col min="18" max="18" width="7.42578125" hidden="1" customWidth="1"/>
    <col min="19" max="20" width="7" hidden="1" customWidth="1"/>
    <col min="21" max="21" width="9.140625" customWidth="1"/>
    <col min="22" max="22" width="9.5703125" customWidth="1"/>
    <col min="23" max="23" width="10.140625" customWidth="1"/>
    <col min="24" max="24" width="10.28515625" customWidth="1"/>
    <col min="25" max="25" width="0.7109375" customWidth="1"/>
    <col min="26" max="26" width="21.7109375" customWidth="1"/>
    <col min="27" max="27" width="14.140625" customWidth="1"/>
    <col min="28" max="28" width="21.85546875" customWidth="1"/>
    <col min="29" max="29" width="12.5703125" customWidth="1"/>
    <col min="30" max="30" width="21.7109375" customWidth="1"/>
    <col min="31" max="31" width="20.5703125" customWidth="1"/>
    <col min="32" max="32" width="17.85546875" customWidth="1"/>
    <col min="33" max="33" width="18.28515625" customWidth="1"/>
    <col min="34" max="34" width="19.28515625" customWidth="1"/>
    <col min="35" max="35" width="19.7109375" customWidth="1"/>
  </cols>
  <sheetData>
    <row r="1" spans="2:37" ht="7.5" customHeight="1">
      <c r="B1" s="17"/>
      <c r="C1" s="17"/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2:37" ht="22.5" customHeight="1">
      <c r="B2" s="537" t="s">
        <v>128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292"/>
      <c r="Z2" s="292"/>
      <c r="AA2" s="292"/>
      <c r="AB2" s="292"/>
      <c r="AC2" s="292"/>
      <c r="AD2" s="2"/>
      <c r="AE2" s="2"/>
      <c r="AF2" s="2"/>
      <c r="AG2" s="2"/>
    </row>
    <row r="3" spans="2:37" ht="19.5">
      <c r="B3" s="538" t="s">
        <v>92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285"/>
      <c r="Z3" s="285"/>
      <c r="AA3" s="285"/>
      <c r="AB3" s="285"/>
      <c r="AC3" s="285"/>
      <c r="AD3" s="3"/>
      <c r="AE3" s="3"/>
      <c r="AF3" s="3"/>
      <c r="AG3" s="3"/>
    </row>
    <row r="4" spans="2:37" ht="16.5" customHeight="1">
      <c r="B4" s="526" t="s">
        <v>126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286"/>
      <c r="Z4" s="286"/>
      <c r="AA4" s="286"/>
      <c r="AB4" s="286"/>
      <c r="AC4" s="286"/>
      <c r="AD4" s="4"/>
      <c r="AE4" s="4"/>
      <c r="AF4" s="4"/>
      <c r="AG4" s="4"/>
    </row>
    <row r="5" spans="2:37" ht="20.25" customHeight="1" thickBot="1">
      <c r="D5"/>
      <c r="F5" s="18"/>
      <c r="G5" s="18"/>
      <c r="H5" s="18"/>
      <c r="I5" s="17"/>
      <c r="R5" s="18"/>
      <c r="U5" s="211" t="s">
        <v>79</v>
      </c>
      <c r="V5" s="210" t="s">
        <v>80</v>
      </c>
      <c r="W5" s="222" t="s">
        <v>174</v>
      </c>
      <c r="X5" s="212"/>
      <c r="AD5" s="18"/>
    </row>
    <row r="6" spans="2:37" ht="31.9" customHeight="1">
      <c r="B6" s="539" t="s">
        <v>20</v>
      </c>
      <c r="C6" s="542" t="s">
        <v>9</v>
      </c>
      <c r="D6" s="542" t="s">
        <v>75</v>
      </c>
      <c r="E6" s="545" t="s">
        <v>67</v>
      </c>
      <c r="F6" s="546"/>
      <c r="G6" s="549" t="s">
        <v>86</v>
      </c>
      <c r="H6" s="550"/>
      <c r="I6" s="549" t="s">
        <v>46</v>
      </c>
      <c r="J6" s="551"/>
      <c r="K6" s="550"/>
      <c r="L6" s="549" t="s">
        <v>22</v>
      </c>
      <c r="M6" s="551"/>
      <c r="N6" s="550"/>
      <c r="O6" s="549" t="s">
        <v>24</v>
      </c>
      <c r="P6" s="550"/>
      <c r="Q6" s="552" t="s">
        <v>27</v>
      </c>
      <c r="R6" s="531" t="s">
        <v>23</v>
      </c>
      <c r="S6" s="532"/>
      <c r="T6" s="533"/>
      <c r="U6" s="555" t="s">
        <v>47</v>
      </c>
      <c r="V6" s="556"/>
      <c r="W6" s="557"/>
      <c r="X6" s="558" t="s">
        <v>78</v>
      </c>
      <c r="Z6" s="47"/>
      <c r="AA6" s="47"/>
      <c r="AB6" s="47"/>
      <c r="AC6" s="47"/>
    </row>
    <row r="7" spans="2:37" ht="24" customHeight="1">
      <c r="B7" s="540"/>
      <c r="C7" s="543"/>
      <c r="D7" s="543"/>
      <c r="E7" s="547"/>
      <c r="F7" s="548"/>
      <c r="G7" s="320" t="s">
        <v>129</v>
      </c>
      <c r="H7" s="291" t="s">
        <v>85</v>
      </c>
      <c r="I7" s="572" t="s">
        <v>51</v>
      </c>
      <c r="J7" s="574" t="s">
        <v>19</v>
      </c>
      <c r="K7" s="575"/>
      <c r="L7" s="564" t="s">
        <v>2</v>
      </c>
      <c r="M7" s="564" t="s">
        <v>3</v>
      </c>
      <c r="N7" s="564" t="s">
        <v>4</v>
      </c>
      <c r="O7" s="564" t="s">
        <v>25</v>
      </c>
      <c r="P7" s="564" t="s">
        <v>26</v>
      </c>
      <c r="Q7" s="553"/>
      <c r="R7" s="564" t="s">
        <v>2</v>
      </c>
      <c r="S7" s="564" t="s">
        <v>3</v>
      </c>
      <c r="T7" s="564" t="s">
        <v>4</v>
      </c>
      <c r="U7" s="564" t="s">
        <v>2</v>
      </c>
      <c r="V7" s="564" t="s">
        <v>3</v>
      </c>
      <c r="W7" s="564" t="s">
        <v>4</v>
      </c>
      <c r="X7" s="559"/>
      <c r="Z7" s="186"/>
      <c r="AA7" s="47"/>
      <c r="AB7" s="47"/>
      <c r="AC7" s="47"/>
    </row>
    <row r="8" spans="2:37" ht="24" customHeight="1">
      <c r="B8" s="541"/>
      <c r="C8" s="544"/>
      <c r="D8" s="544"/>
      <c r="E8" s="289" t="s">
        <v>68</v>
      </c>
      <c r="F8" s="149" t="s">
        <v>69</v>
      </c>
      <c r="G8" s="289" t="s">
        <v>83</v>
      </c>
      <c r="H8" s="288" t="s">
        <v>83</v>
      </c>
      <c r="I8" s="573"/>
      <c r="J8" s="547"/>
      <c r="K8" s="548"/>
      <c r="L8" s="544"/>
      <c r="M8" s="544"/>
      <c r="N8" s="544"/>
      <c r="O8" s="544"/>
      <c r="P8" s="544"/>
      <c r="Q8" s="554"/>
      <c r="R8" s="544"/>
      <c r="S8" s="544"/>
      <c r="T8" s="544"/>
      <c r="U8" s="544"/>
      <c r="V8" s="544"/>
      <c r="W8" s="544"/>
      <c r="X8" s="560"/>
      <c r="Z8" s="186">
        <f>H34</f>
        <v>72000000000</v>
      </c>
      <c r="AA8" s="47"/>
      <c r="AB8" s="47"/>
      <c r="AC8" s="47"/>
    </row>
    <row r="9" spans="2:37" ht="15" customHeight="1">
      <c r="B9" s="5">
        <v>1</v>
      </c>
      <c r="C9" s="245">
        <v>2</v>
      </c>
      <c r="D9" s="6">
        <v>3</v>
      </c>
      <c r="E9" s="6">
        <v>4</v>
      </c>
      <c r="F9" s="6">
        <v>5</v>
      </c>
      <c r="G9" s="276">
        <v>7</v>
      </c>
      <c r="H9" s="276">
        <v>6</v>
      </c>
      <c r="I9" s="6">
        <v>8</v>
      </c>
      <c r="J9" s="276">
        <v>9</v>
      </c>
      <c r="K9" s="276">
        <v>13</v>
      </c>
      <c r="L9" s="276">
        <v>10</v>
      </c>
      <c r="M9" s="276">
        <v>11</v>
      </c>
      <c r="N9" s="276">
        <v>12</v>
      </c>
      <c r="O9" s="276">
        <v>13</v>
      </c>
      <c r="P9" s="276">
        <v>14</v>
      </c>
      <c r="Q9" s="60">
        <v>15</v>
      </c>
      <c r="R9" s="276">
        <v>16</v>
      </c>
      <c r="S9" s="276">
        <v>17</v>
      </c>
      <c r="T9" s="276">
        <v>18</v>
      </c>
      <c r="U9" s="276">
        <v>10</v>
      </c>
      <c r="V9" s="276">
        <v>11</v>
      </c>
      <c r="W9" s="6">
        <v>12</v>
      </c>
      <c r="X9" s="139">
        <v>13</v>
      </c>
      <c r="Z9" s="38"/>
      <c r="AA9" s="38"/>
      <c r="AB9" s="38"/>
      <c r="AC9" s="38"/>
    </row>
    <row r="10" spans="2:37" ht="13.5" customHeight="1">
      <c r="B10" s="8"/>
      <c r="C10" s="27"/>
      <c r="D10" s="9"/>
      <c r="E10" s="10"/>
      <c r="F10" s="11"/>
      <c r="G10" s="32"/>
      <c r="H10" s="11"/>
      <c r="I10" s="11"/>
      <c r="J10" s="11"/>
      <c r="K10" s="11"/>
      <c r="L10" s="11"/>
      <c r="M10" s="11"/>
      <c r="N10" s="11"/>
      <c r="O10" s="11"/>
      <c r="P10" s="11"/>
      <c r="Q10" s="61"/>
      <c r="R10" s="11"/>
      <c r="S10" s="11"/>
      <c r="T10" s="11"/>
      <c r="U10" s="11"/>
      <c r="V10" s="11"/>
      <c r="W10" s="11"/>
      <c r="X10" s="12"/>
      <c r="Z10" s="39"/>
      <c r="AA10" s="39"/>
      <c r="AB10" s="39"/>
      <c r="AC10" s="39"/>
    </row>
    <row r="11" spans="2:37" ht="21" customHeight="1">
      <c r="B11" s="31" t="s">
        <v>14</v>
      </c>
      <c r="C11" s="19" t="s">
        <v>8</v>
      </c>
      <c r="D11" s="29"/>
      <c r="E11" s="66"/>
      <c r="F11" s="67"/>
      <c r="G11" s="66"/>
      <c r="H11" s="66"/>
      <c r="I11" s="66"/>
      <c r="J11" s="66"/>
      <c r="K11" s="66"/>
      <c r="L11" s="66"/>
      <c r="M11" s="66"/>
      <c r="N11" s="66"/>
      <c r="O11" s="66" t="e">
        <f>'Realisasi '!#REF!</f>
        <v>#REF!</v>
      </c>
      <c r="P11" s="66"/>
      <c r="Q11" s="68"/>
      <c r="R11" s="66"/>
      <c r="S11" s="66"/>
      <c r="T11" s="66"/>
      <c r="U11" s="66"/>
      <c r="V11" s="66"/>
      <c r="W11" s="66"/>
      <c r="X11" s="65"/>
      <c r="Z11" s="226">
        <f>H28</f>
        <v>69124000000</v>
      </c>
      <c r="AA11" s="227" t="s">
        <v>84</v>
      </c>
      <c r="AC11" s="40"/>
      <c r="AI11" s="225" t="s">
        <v>82</v>
      </c>
    </row>
    <row r="12" spans="2:37" ht="12" customHeight="1">
      <c r="B12" s="13"/>
      <c r="C12" s="28"/>
      <c r="D12" s="14"/>
      <c r="E12" s="15"/>
      <c r="F12" s="16"/>
      <c r="G12" s="33"/>
      <c r="H12" s="16"/>
      <c r="I12" s="16"/>
      <c r="J12" s="16"/>
      <c r="K12" s="16"/>
      <c r="L12" s="16"/>
      <c r="M12" s="16"/>
      <c r="N12" s="16"/>
      <c r="O12" s="16"/>
      <c r="P12" s="16"/>
      <c r="Q12" s="62"/>
      <c r="R12" s="16"/>
      <c r="S12" s="16"/>
      <c r="T12" s="16"/>
      <c r="U12" s="16"/>
      <c r="V12" s="16"/>
      <c r="W12" s="16"/>
      <c r="X12" s="25"/>
      <c r="Z12" s="561" t="s">
        <v>65</v>
      </c>
      <c r="AA12" s="561"/>
      <c r="AB12" s="561" t="s">
        <v>66</v>
      </c>
      <c r="AC12" s="561"/>
      <c r="AI12" s="223"/>
    </row>
    <row r="13" spans="2:37" ht="46.5" customHeight="1">
      <c r="B13" s="131">
        <v>1</v>
      </c>
      <c r="C13" s="30" t="str">
        <f>'Paket PRIM 2019'!C14</f>
        <v>P 6</v>
      </c>
      <c r="D13" s="30" t="str">
        <f>'Paket PRIM 2019'!D14</f>
        <v>Paket VI (Enam) Rehabilitasi/Pemeliharaan Berkala Ruas Jalan (022) Meninting - Midang, Rm + BMW 10 Ruas (DANA PRIM)</v>
      </c>
      <c r="E13" s="242">
        <f>'Paket PRIM 2019'!E16</f>
        <v>4.25</v>
      </c>
      <c r="F13" s="242">
        <f>'Paket PRIM 2019'!F16</f>
        <v>27.779</v>
      </c>
      <c r="G13" s="122">
        <f>'Paket PRIM 2019'!H14</f>
        <v>10207000000</v>
      </c>
      <c r="H13" s="122">
        <f>'Paket PRIM 2019'!I16</f>
        <v>10207000000</v>
      </c>
      <c r="I13" s="101">
        <f>'Real UM&amp;MC (per-bulan) '!S14</f>
        <v>8820696150</v>
      </c>
      <c r="J13" s="197">
        <f>I13/H13*100</f>
        <v>86.41810669148623</v>
      </c>
      <c r="K13" s="197" t="e">
        <f>#REF!/#REF!*100</f>
        <v>#REF!</v>
      </c>
      <c r="L13" s="198">
        <v>28.26</v>
      </c>
      <c r="M13" s="198">
        <v>27.82</v>
      </c>
      <c r="N13" s="198">
        <f t="shared" ref="N13:N16" si="0">M13-L13</f>
        <v>-0.44000000000000128</v>
      </c>
      <c r="O13" s="196" t="e">
        <f>#REF!-#REF!</f>
        <v>#REF!</v>
      </c>
      <c r="P13" s="199" t="e">
        <f>O13/#REF!*100</f>
        <v>#REF!</v>
      </c>
      <c r="Q13" s="199" t="e">
        <f t="shared" ref="Q13:Q16" si="1">O13/H13*100</f>
        <v>#REF!</v>
      </c>
      <c r="R13" s="200" t="e">
        <f>U13/#REF!*100</f>
        <v>#REF!</v>
      </c>
      <c r="S13" s="200" t="e">
        <f>V13/#REF!*100</f>
        <v>#REF!</v>
      </c>
      <c r="T13" s="200" t="e">
        <f>S13-R13</f>
        <v>#REF!</v>
      </c>
      <c r="U13" s="299">
        <v>100</v>
      </c>
      <c r="V13" s="299">
        <v>100</v>
      </c>
      <c r="W13" s="325">
        <f>V13-U13</f>
        <v>0</v>
      </c>
      <c r="X13" s="201">
        <f>AC13</f>
        <v>14.766217232799029</v>
      </c>
      <c r="Y13" s="49"/>
      <c r="Z13" s="42">
        <f>(U13*H13)/100</f>
        <v>10207000000</v>
      </c>
      <c r="AA13" s="140">
        <f>Z13/$Z$11*100</f>
        <v>14.766217232799029</v>
      </c>
      <c r="AB13" s="42">
        <f>(V13*H13)/100</f>
        <v>10207000000</v>
      </c>
      <c r="AC13" s="140">
        <f>AB13/$Z$11*100</f>
        <v>14.766217232799029</v>
      </c>
      <c r="AD13" s="36">
        <f>G13*25/100</f>
        <v>2551750000</v>
      </c>
      <c r="AE13" s="36">
        <f>(AD13*0.2+AD13*0.05)</f>
        <v>637937500</v>
      </c>
      <c r="AF13" s="36">
        <f>AD13-AE13</f>
        <v>1913812500</v>
      </c>
      <c r="AG13" s="36">
        <v>5765433075</v>
      </c>
      <c r="AH13" s="35">
        <f>AG13+AF13</f>
        <v>7679245575</v>
      </c>
      <c r="AI13" s="224" t="e">
        <f>#REF!-G13</f>
        <v>#REF!</v>
      </c>
      <c r="AJ13" s="37"/>
      <c r="AK13" s="37"/>
    </row>
    <row r="14" spans="2:37" ht="19.5" hidden="1" customHeight="1">
      <c r="B14" s="48"/>
      <c r="C14" s="246"/>
      <c r="D14" s="30"/>
      <c r="E14" s="242"/>
      <c r="F14" s="243"/>
      <c r="G14" s="122"/>
      <c r="H14" s="122"/>
      <c r="I14" s="101"/>
      <c r="J14" s="318"/>
      <c r="K14" s="197"/>
      <c r="L14" s="203"/>
      <c r="M14" s="203"/>
      <c r="N14" s="203"/>
      <c r="O14" s="204"/>
      <c r="P14" s="205"/>
      <c r="Q14" s="205"/>
      <c r="R14" s="205"/>
      <c r="S14" s="205"/>
      <c r="T14" s="205"/>
      <c r="U14" s="297"/>
      <c r="V14" s="297"/>
      <c r="W14" s="239"/>
      <c r="X14" s="201"/>
      <c r="Y14" s="43"/>
      <c r="Z14" s="42">
        <f t="shared" ref="Z14:Z15" si="2">(U14*H14)/100</f>
        <v>0</v>
      </c>
      <c r="AA14" s="140">
        <f t="shared" ref="AA14:AA19" si="3">Z14/$Z$11*100</f>
        <v>0</v>
      </c>
      <c r="AB14" s="42">
        <f t="shared" ref="AB14:AB19" si="4">(V14*H14)/100</f>
        <v>0</v>
      </c>
      <c r="AC14" s="140">
        <f t="shared" ref="AC14:AC19" si="5">AB14/$Z$11*100</f>
        <v>0</v>
      </c>
      <c r="AD14" s="36">
        <f>G14*(V14-23)/100</f>
        <v>0</v>
      </c>
      <c r="AE14" s="36">
        <f>(AD14*0.2+AD14*0.05)</f>
        <v>0</v>
      </c>
      <c r="AF14" s="36">
        <f>AD14-AE14</f>
        <v>0</v>
      </c>
      <c r="AG14" s="36"/>
      <c r="AI14" s="224" t="e">
        <f>#REF!-G14</f>
        <v>#REF!</v>
      </c>
      <c r="AJ14" s="37"/>
      <c r="AK14" s="37"/>
    </row>
    <row r="15" spans="2:37" ht="19.5" customHeight="1">
      <c r="B15" s="48"/>
      <c r="C15" s="246"/>
      <c r="D15" s="30"/>
      <c r="E15" s="242"/>
      <c r="F15" s="242"/>
      <c r="G15" s="122"/>
      <c r="H15" s="122"/>
      <c r="I15" s="101"/>
      <c r="J15" s="318"/>
      <c r="K15" s="197"/>
      <c r="L15" s="203"/>
      <c r="M15" s="203"/>
      <c r="N15" s="203"/>
      <c r="O15" s="206"/>
      <c r="P15" s="205"/>
      <c r="Q15" s="205"/>
      <c r="R15" s="205"/>
      <c r="S15" s="205"/>
      <c r="T15" s="205"/>
      <c r="U15" s="298"/>
      <c r="V15" s="299"/>
      <c r="W15" s="239"/>
      <c r="X15" s="201"/>
      <c r="Y15" s="44"/>
      <c r="Z15" s="42">
        <f t="shared" si="2"/>
        <v>0</v>
      </c>
      <c r="AA15" s="140">
        <f t="shared" si="3"/>
        <v>0</v>
      </c>
      <c r="AB15" s="42">
        <f t="shared" si="4"/>
        <v>0</v>
      </c>
      <c r="AC15" s="140">
        <f t="shared" si="5"/>
        <v>0</v>
      </c>
      <c r="AD15" s="36">
        <f>G15*(V15-25)/100</f>
        <v>0</v>
      </c>
      <c r="AE15" s="36">
        <f t="shared" ref="AE15" si="6">(AD15*0.2+AD15*0.05)</f>
        <v>0</v>
      </c>
      <c r="AF15" s="36">
        <f t="shared" ref="AF15" si="7">AD15-AE15</f>
        <v>0</v>
      </c>
      <c r="AG15" s="36"/>
      <c r="AI15" s="224" t="e">
        <f>#REF!-G15</f>
        <v>#REF!</v>
      </c>
      <c r="AJ15" s="37"/>
      <c r="AK15" s="37"/>
    </row>
    <row r="16" spans="2:37" ht="49.5" customHeight="1">
      <c r="B16" s="123">
        <v>2</v>
      </c>
      <c r="C16" s="246" t="str">
        <f>'Paket PRIM 2019'!C18</f>
        <v>P 7</v>
      </c>
      <c r="D16" s="281" t="str">
        <f>'Paket PRIM 2019'!D18</f>
        <v>Paket VII (tujuh) Rehabilitasi/Pemeliharaan Berkala Ruas Jalan (042) Dasan Geres - Buntage, RM + BMW 8 Ruas (Dana PRIM)</v>
      </c>
      <c r="E16" s="242">
        <f>'Paket PRIM 2019'!E20</f>
        <v>6.4889999999999999</v>
      </c>
      <c r="F16" s="242">
        <f>'Paket PRIM 2019'!F20</f>
        <v>23.402999999999999</v>
      </c>
      <c r="G16" s="122">
        <f>'Paket PRIM 2019'!H18</f>
        <v>18072000000</v>
      </c>
      <c r="H16" s="122">
        <f>'Paket PRIM 2019'!I20</f>
        <v>18072000000</v>
      </c>
      <c r="I16" s="101">
        <f>'Real UM&amp;MC (per-bulan) '!S17</f>
        <v>16201530200</v>
      </c>
      <c r="J16" s="197">
        <f>I16/H16*100</f>
        <v>89.649901505090739</v>
      </c>
      <c r="K16" s="197" t="e">
        <f>#REF!/#REF!*100</f>
        <v>#REF!</v>
      </c>
      <c r="L16" s="207">
        <v>16.992999999999999</v>
      </c>
      <c r="M16" s="207">
        <v>5.593</v>
      </c>
      <c r="N16" s="207">
        <f t="shared" si="0"/>
        <v>-11.399999999999999</v>
      </c>
      <c r="O16" s="202" t="e">
        <f>#REF!-#REF!</f>
        <v>#REF!</v>
      </c>
      <c r="P16" s="208" t="e">
        <f>O16/#REF!*100</f>
        <v>#REF!</v>
      </c>
      <c r="Q16" s="208" t="e">
        <f t="shared" si="1"/>
        <v>#REF!</v>
      </c>
      <c r="R16" s="208" t="e">
        <f>U16/#REF!*100</f>
        <v>#REF!</v>
      </c>
      <c r="S16" s="208" t="e">
        <f>V16/#REF!*100</f>
        <v>#REF!</v>
      </c>
      <c r="T16" s="208" t="e">
        <f>S16-R16</f>
        <v>#REF!</v>
      </c>
      <c r="U16" s="299">
        <v>100</v>
      </c>
      <c r="V16" s="299">
        <v>100</v>
      </c>
      <c r="W16" s="325">
        <f>V16-U16</f>
        <v>0</v>
      </c>
      <c r="X16" s="201">
        <f t="shared" ref="X16" si="8">AC16</f>
        <v>26.144320351831489</v>
      </c>
      <c r="Y16" s="49"/>
      <c r="Z16" s="42">
        <f>(U16*H16)/100</f>
        <v>18072000000</v>
      </c>
      <c r="AA16" s="140">
        <f t="shared" si="3"/>
        <v>26.144320351831489</v>
      </c>
      <c r="AB16" s="42">
        <f t="shared" si="4"/>
        <v>18072000000</v>
      </c>
      <c r="AC16" s="140">
        <f t="shared" si="5"/>
        <v>26.144320351831489</v>
      </c>
      <c r="AD16" s="36">
        <f>G16*25/100</f>
        <v>4518000000</v>
      </c>
      <c r="AE16" s="36">
        <f>(AD16*0.2+AD16*0.05)</f>
        <v>1129500000</v>
      </c>
      <c r="AF16" s="36">
        <f>AD16-AE16</f>
        <v>3388500000</v>
      </c>
      <c r="AG16" s="36">
        <v>5765433075</v>
      </c>
      <c r="AH16" s="35">
        <f>AG16+AF16</f>
        <v>9153933075</v>
      </c>
      <c r="AI16" s="224" t="e">
        <f>#REF!-G16</f>
        <v>#REF!</v>
      </c>
      <c r="AJ16" s="37"/>
      <c r="AK16" s="37"/>
    </row>
    <row r="17" spans="2:37" ht="21" customHeight="1">
      <c r="B17" s="308"/>
      <c r="C17" s="246"/>
      <c r="D17" s="281"/>
      <c r="E17" s="242"/>
      <c r="F17" s="242"/>
      <c r="G17" s="122"/>
      <c r="H17" s="122"/>
      <c r="I17" s="101"/>
      <c r="J17" s="318"/>
      <c r="K17" s="197"/>
      <c r="L17" s="309"/>
      <c r="M17" s="309"/>
      <c r="N17" s="309"/>
      <c r="O17" s="310"/>
      <c r="P17" s="311"/>
      <c r="Q17" s="311"/>
      <c r="R17" s="311"/>
      <c r="S17" s="311"/>
      <c r="T17" s="311"/>
      <c r="U17" s="305"/>
      <c r="V17" s="299"/>
      <c r="W17" s="240"/>
      <c r="X17" s="201"/>
      <c r="Y17" s="49"/>
      <c r="Z17" s="42">
        <f t="shared" ref="Z17:Z18" si="9">(U17*H17)/100</f>
        <v>0</v>
      </c>
      <c r="AA17" s="140">
        <f t="shared" ref="AA17:AA18" si="10">Z17/$Z$11*100</f>
        <v>0</v>
      </c>
      <c r="AB17" s="42">
        <f t="shared" ref="AB17:AB18" si="11">(V17*H17)/100</f>
        <v>0</v>
      </c>
      <c r="AC17" s="140">
        <f t="shared" ref="AC17:AC18" si="12">AB17/$Z$11*100</f>
        <v>0</v>
      </c>
      <c r="AD17" s="36">
        <f>G17*(V17-23)/100</f>
        <v>0</v>
      </c>
      <c r="AE17" s="36">
        <f>(AD17*0.2+AD17*0.05)</f>
        <v>0</v>
      </c>
      <c r="AF17" s="36">
        <f>AD17-AE17</f>
        <v>0</v>
      </c>
      <c r="AG17" s="36"/>
      <c r="AI17" s="224" t="e">
        <f>#REF!-G17</f>
        <v>#REF!</v>
      </c>
      <c r="AJ17" s="37"/>
      <c r="AK17" s="37"/>
    </row>
    <row r="18" spans="2:37" ht="18.75" customHeight="1">
      <c r="B18" s="308"/>
      <c r="C18" s="246"/>
      <c r="D18" s="281"/>
      <c r="E18" s="242"/>
      <c r="F18" s="242"/>
      <c r="G18" s="122"/>
      <c r="H18" s="122"/>
      <c r="I18" s="101"/>
      <c r="J18" s="318"/>
      <c r="K18" s="197"/>
      <c r="L18" s="309"/>
      <c r="M18" s="309"/>
      <c r="N18" s="309"/>
      <c r="O18" s="310"/>
      <c r="P18" s="311"/>
      <c r="Q18" s="311"/>
      <c r="R18" s="311"/>
      <c r="S18" s="311"/>
      <c r="T18" s="311"/>
      <c r="U18" s="305"/>
      <c r="V18" s="299"/>
      <c r="W18" s="240"/>
      <c r="X18" s="201"/>
      <c r="Y18" s="49"/>
      <c r="Z18" s="42">
        <f t="shared" si="9"/>
        <v>0</v>
      </c>
      <c r="AA18" s="140">
        <f t="shared" si="10"/>
        <v>0</v>
      </c>
      <c r="AB18" s="42">
        <f t="shared" si="11"/>
        <v>0</v>
      </c>
      <c r="AC18" s="140">
        <f t="shared" si="12"/>
        <v>0</v>
      </c>
      <c r="AD18" s="36">
        <f>G18*(V18-25)/100</f>
        <v>0</v>
      </c>
      <c r="AE18" s="36">
        <f t="shared" ref="AE18" si="13">(AD18*0.2+AD18*0.05)</f>
        <v>0</v>
      </c>
      <c r="AF18" s="36">
        <f t="shared" ref="AF18" si="14">AD18-AE18</f>
        <v>0</v>
      </c>
      <c r="AG18" s="36"/>
      <c r="AI18" s="224" t="e">
        <f>#REF!-G18</f>
        <v>#REF!</v>
      </c>
      <c r="AJ18" s="37"/>
      <c r="AK18" s="37"/>
    </row>
    <row r="19" spans="2:37" ht="46.9" customHeight="1">
      <c r="B19" s="123">
        <v>3</v>
      </c>
      <c r="C19" s="246" t="str">
        <f>'Paket PRIM 2019'!C22</f>
        <v>P 8</v>
      </c>
      <c r="D19" s="281" t="str">
        <f>'Paket PRIM 2019'!D22</f>
        <v>Paket VIII (delapan) Rehabilitasi/Pemeliharaan Berkala Ruas Jalan (026) Dasan Tereng - Sembung, RM + BMW 5 Ruas (Dana PRIM)</v>
      </c>
      <c r="E19" s="242">
        <f>'Paket PRIM 2019'!E24</f>
        <v>3.1909999999999998</v>
      </c>
      <c r="F19" s="242">
        <f>'Paket PRIM 2019'!F24</f>
        <v>23.616</v>
      </c>
      <c r="G19" s="122">
        <f>'Paket PRIM 2019'!H22</f>
        <v>12057100000</v>
      </c>
      <c r="H19" s="122">
        <f>'Paket PRIM 2019'!I24</f>
        <v>12057100000</v>
      </c>
      <c r="I19" s="101">
        <f>'Real UM&amp;MC (per-bulan) '!S20</f>
        <v>12057100000</v>
      </c>
      <c r="J19" s="197">
        <f>I19/H19*100</f>
        <v>100</v>
      </c>
      <c r="K19" s="197" t="e">
        <f>#REF!/#REF!*100</f>
        <v>#REF!</v>
      </c>
      <c r="L19" s="207">
        <v>16.992999999999999</v>
      </c>
      <c r="M19" s="207">
        <v>5.593</v>
      </c>
      <c r="N19" s="207">
        <f t="shared" ref="N19" si="15">M19-L19</f>
        <v>-11.399999999999999</v>
      </c>
      <c r="O19" s="202" t="e">
        <f>#REF!-#REF!</f>
        <v>#REF!</v>
      </c>
      <c r="P19" s="208" t="e">
        <f>O19/#REF!*100</f>
        <v>#REF!</v>
      </c>
      <c r="Q19" s="208" t="e">
        <f t="shared" ref="Q19" si="16">O19/H19*100</f>
        <v>#REF!</v>
      </c>
      <c r="R19" s="208" t="e">
        <f>U19/#REF!*100</f>
        <v>#REF!</v>
      </c>
      <c r="S19" s="208" t="e">
        <f>V19/#REF!*100</f>
        <v>#REF!</v>
      </c>
      <c r="T19" s="208" t="e">
        <f>S19-R19</f>
        <v>#REF!</v>
      </c>
      <c r="U19" s="299">
        <v>100</v>
      </c>
      <c r="V19" s="299">
        <v>100</v>
      </c>
      <c r="W19" s="325">
        <f>V19-U19</f>
        <v>0</v>
      </c>
      <c r="X19" s="201">
        <f t="shared" ref="X19" si="17">AC19</f>
        <v>17.442711648631445</v>
      </c>
      <c r="Y19" s="49"/>
      <c r="Z19" s="42">
        <f t="shared" ref="Z19:Z21" si="18">(U19*H19)/100</f>
        <v>12057100000</v>
      </c>
      <c r="AA19" s="140">
        <f t="shared" si="3"/>
        <v>17.442711648631445</v>
      </c>
      <c r="AB19" s="42">
        <f t="shared" si="4"/>
        <v>12057100000</v>
      </c>
      <c r="AC19" s="140">
        <f t="shared" si="5"/>
        <v>17.442711648631445</v>
      </c>
      <c r="AD19" s="36">
        <f>G19*25/100</f>
        <v>3014275000</v>
      </c>
      <c r="AE19" s="36">
        <f>(AD19*0.2+AD19*0.05)</f>
        <v>753568750</v>
      </c>
      <c r="AF19" s="36">
        <f>AD19-AE19</f>
        <v>2260706250</v>
      </c>
      <c r="AG19" s="36">
        <v>5765433075</v>
      </c>
      <c r="AH19" s="35">
        <f>AG19+AF19</f>
        <v>8026139325</v>
      </c>
      <c r="AI19" s="224" t="e">
        <f>#REF!-G19</f>
        <v>#REF!</v>
      </c>
    </row>
    <row r="20" spans="2:37" ht="21" hidden="1" customHeight="1">
      <c r="B20" s="123"/>
      <c r="C20" s="312"/>
      <c r="D20" s="313"/>
      <c r="E20" s="314"/>
      <c r="F20" s="314"/>
      <c r="G20" s="122"/>
      <c r="H20" s="315"/>
      <c r="I20" s="316"/>
      <c r="J20" s="197"/>
      <c r="K20" s="197"/>
      <c r="L20" s="317"/>
      <c r="M20" s="317"/>
      <c r="N20" s="317"/>
      <c r="O20" s="196"/>
      <c r="P20" s="200"/>
      <c r="Q20" s="200"/>
      <c r="R20" s="200"/>
      <c r="S20" s="200"/>
      <c r="T20" s="200"/>
      <c r="U20" s="305"/>
      <c r="V20" s="299"/>
      <c r="W20" s="325"/>
      <c r="X20" s="201"/>
      <c r="Y20" s="49"/>
      <c r="Z20" s="42">
        <f t="shared" si="18"/>
        <v>0</v>
      </c>
      <c r="AA20" s="140">
        <f t="shared" ref="AA20:AA21" si="19">Z20/$Z$11*100</f>
        <v>0</v>
      </c>
      <c r="AB20" s="42">
        <f t="shared" ref="AB20:AB21" si="20">(V20*H20)/100</f>
        <v>0</v>
      </c>
      <c r="AC20" s="140">
        <f t="shared" ref="AC20:AC21" si="21">AB20/$Z$11*100</f>
        <v>0</v>
      </c>
      <c r="AD20" s="36">
        <f>G20*(V20-23)/100</f>
        <v>0</v>
      </c>
      <c r="AE20" s="36">
        <f>(AD20*0.2+AD20*0.05)</f>
        <v>0</v>
      </c>
      <c r="AF20" s="36">
        <f>AD20-AE20</f>
        <v>0</v>
      </c>
      <c r="AG20" s="36"/>
      <c r="AI20" s="224" t="e">
        <f>#REF!-G20</f>
        <v>#REF!</v>
      </c>
    </row>
    <row r="21" spans="2:37" ht="20.25" customHeight="1">
      <c r="B21" s="123"/>
      <c r="C21" s="312"/>
      <c r="D21" s="313"/>
      <c r="E21" s="314"/>
      <c r="F21" s="314"/>
      <c r="G21" s="122"/>
      <c r="H21" s="315"/>
      <c r="I21" s="316"/>
      <c r="J21" s="197"/>
      <c r="K21" s="197"/>
      <c r="L21" s="317"/>
      <c r="M21" s="317"/>
      <c r="N21" s="317"/>
      <c r="O21" s="196"/>
      <c r="P21" s="200"/>
      <c r="Q21" s="200"/>
      <c r="R21" s="200"/>
      <c r="S21" s="200"/>
      <c r="T21" s="200"/>
      <c r="U21" s="305"/>
      <c r="V21" s="299"/>
      <c r="W21" s="325"/>
      <c r="X21" s="201"/>
      <c r="Y21" s="49"/>
      <c r="Z21" s="42">
        <f t="shared" si="18"/>
        <v>0</v>
      </c>
      <c r="AA21" s="140">
        <f t="shared" si="19"/>
        <v>0</v>
      </c>
      <c r="AB21" s="42">
        <f t="shared" si="20"/>
        <v>0</v>
      </c>
      <c r="AC21" s="140">
        <f t="shared" si="21"/>
        <v>0</v>
      </c>
      <c r="AD21" s="36">
        <f>G21*(V21-25)/100</f>
        <v>0</v>
      </c>
      <c r="AE21" s="36">
        <f t="shared" ref="AE21" si="22">(AD21*0.2+AD21*0.05)</f>
        <v>0</v>
      </c>
      <c r="AF21" s="36">
        <f t="shared" ref="AF21" si="23">AD21-AE21</f>
        <v>0</v>
      </c>
      <c r="AG21" s="36"/>
      <c r="AI21" s="224" t="e">
        <f>#REF!-G21</f>
        <v>#REF!</v>
      </c>
    </row>
    <row r="22" spans="2:37" ht="46.9" customHeight="1">
      <c r="B22" s="123">
        <v>4</v>
      </c>
      <c r="C22" s="246" t="str">
        <f>'Paket PRIM 2019'!C26</f>
        <v>P9</v>
      </c>
      <c r="D22" s="281" t="str">
        <f>'Paket PRIM 2019'!D26</f>
        <v>Paket IX (sembilan) Rehabilitasi/Pemeliharaan Berkala Ruas Jalan (011) Gerung - Bantir, RM + BMW 5 Ruas (Dana PRIM)</v>
      </c>
      <c r="E22" s="242">
        <f>'Paket PRIM 2019'!E28</f>
        <v>3</v>
      </c>
      <c r="F22" s="242">
        <f>'Paket PRIM 2019'!F28</f>
        <v>31.6</v>
      </c>
      <c r="G22" s="122">
        <f>'Paket PRIM 2019'!H26</f>
        <v>9419900000</v>
      </c>
      <c r="H22" s="122">
        <f>'Paket PRIM 2019'!I28</f>
        <v>9419900000</v>
      </c>
      <c r="I22" s="101">
        <f>'Real UM&amp;MC (per-bulan) '!S23</f>
        <v>9419900000</v>
      </c>
      <c r="J22" s="197">
        <f>I22/H22*100</f>
        <v>100</v>
      </c>
      <c r="K22" s="197" t="e">
        <f>#REF!/#REF!*100</f>
        <v>#REF!</v>
      </c>
      <c r="L22" s="207">
        <v>16.992999999999999</v>
      </c>
      <c r="M22" s="207">
        <v>5.593</v>
      </c>
      <c r="N22" s="207">
        <f t="shared" ref="N22" si="24">M22-L22</f>
        <v>-11.399999999999999</v>
      </c>
      <c r="O22" s="202" t="e">
        <f>#REF!-#REF!</f>
        <v>#REF!</v>
      </c>
      <c r="P22" s="208" t="e">
        <f>O22/#REF!*100</f>
        <v>#REF!</v>
      </c>
      <c r="Q22" s="208" t="e">
        <f t="shared" ref="Q22" si="25">O22/H22*100</f>
        <v>#REF!</v>
      </c>
      <c r="R22" s="208" t="e">
        <f>U22/#REF!*100</f>
        <v>#REF!</v>
      </c>
      <c r="S22" s="208" t="e">
        <f>V22/#REF!*100</f>
        <v>#REF!</v>
      </c>
      <c r="T22" s="208" t="e">
        <f>S22-R22</f>
        <v>#REF!</v>
      </c>
      <c r="U22" s="299">
        <v>100</v>
      </c>
      <c r="V22" s="299">
        <v>100</v>
      </c>
      <c r="W22" s="325">
        <f>V22-U22</f>
        <v>0</v>
      </c>
      <c r="X22" s="201">
        <f t="shared" ref="X22" si="26">AC22</f>
        <v>13.627538915572016</v>
      </c>
      <c r="Y22" s="49"/>
      <c r="Z22" s="42">
        <f t="shared" ref="Z22:Z24" si="27">(U22*H22)/100</f>
        <v>9419900000</v>
      </c>
      <c r="AA22" s="140">
        <f t="shared" ref="AA22:AA24" si="28">Z22/$Z$11*100</f>
        <v>13.627538915572016</v>
      </c>
      <c r="AB22" s="42">
        <f t="shared" ref="AB22:AB24" si="29">(V22*H22)/100</f>
        <v>9419900000</v>
      </c>
      <c r="AC22" s="140">
        <f t="shared" ref="AC22:AC24" si="30">AB22/$Z$11*100</f>
        <v>13.627538915572016</v>
      </c>
      <c r="AD22" s="36">
        <f>G22*25/100</f>
        <v>2354975000</v>
      </c>
      <c r="AE22" s="36">
        <f>(AD22*0.2+AD22*0.05)</f>
        <v>588743750</v>
      </c>
      <c r="AF22" s="36">
        <f>AD22-AE22</f>
        <v>1766231250</v>
      </c>
      <c r="AG22" s="36">
        <v>5765433075</v>
      </c>
      <c r="AH22" s="35">
        <f>AG22+AF22</f>
        <v>7531664325</v>
      </c>
      <c r="AI22" s="224" t="e">
        <f>#REF!-G22</f>
        <v>#REF!</v>
      </c>
    </row>
    <row r="23" spans="2:37" ht="19.5" hidden="1" customHeight="1">
      <c r="B23" s="123"/>
      <c r="C23" s="312"/>
      <c r="D23" s="313"/>
      <c r="E23" s="314"/>
      <c r="F23" s="314"/>
      <c r="G23" s="122"/>
      <c r="H23" s="315"/>
      <c r="I23" s="316"/>
      <c r="J23" s="197"/>
      <c r="K23" s="197"/>
      <c r="L23" s="317"/>
      <c r="M23" s="317"/>
      <c r="N23" s="317"/>
      <c r="O23" s="196"/>
      <c r="P23" s="200"/>
      <c r="Q23" s="200"/>
      <c r="R23" s="200"/>
      <c r="S23" s="200"/>
      <c r="T23" s="200"/>
      <c r="U23" s="305"/>
      <c r="V23" s="299"/>
      <c r="W23" s="325"/>
      <c r="X23" s="201"/>
      <c r="Y23" s="49"/>
      <c r="Z23" s="42">
        <f t="shared" si="27"/>
        <v>0</v>
      </c>
      <c r="AA23" s="140">
        <f t="shared" si="28"/>
        <v>0</v>
      </c>
      <c r="AB23" s="42">
        <f t="shared" si="29"/>
        <v>0</v>
      </c>
      <c r="AC23" s="140">
        <f t="shared" si="30"/>
        <v>0</v>
      </c>
      <c r="AD23" s="36">
        <f>G23*(V23-23)/100</f>
        <v>0</v>
      </c>
      <c r="AE23" s="36">
        <f>(AD23*0.2+AD23*0.05)</f>
        <v>0</v>
      </c>
      <c r="AF23" s="36">
        <f>AD23-AE23</f>
        <v>0</v>
      </c>
      <c r="AG23" s="36"/>
      <c r="AI23" s="224" t="e">
        <f>#REF!-G23</f>
        <v>#REF!</v>
      </c>
    </row>
    <row r="24" spans="2:37" ht="18.75" customHeight="1">
      <c r="B24" s="123"/>
      <c r="C24" s="312"/>
      <c r="D24" s="313"/>
      <c r="E24" s="314"/>
      <c r="F24" s="314"/>
      <c r="G24" s="122"/>
      <c r="H24" s="315"/>
      <c r="I24" s="316"/>
      <c r="J24" s="197"/>
      <c r="K24" s="197"/>
      <c r="L24" s="317"/>
      <c r="M24" s="317"/>
      <c r="N24" s="317"/>
      <c r="O24" s="196"/>
      <c r="P24" s="200"/>
      <c r="Q24" s="200"/>
      <c r="R24" s="200"/>
      <c r="S24" s="200"/>
      <c r="T24" s="200"/>
      <c r="U24" s="305"/>
      <c r="V24" s="299"/>
      <c r="W24" s="325"/>
      <c r="X24" s="201"/>
      <c r="Y24" s="49"/>
      <c r="Z24" s="42">
        <f t="shared" si="27"/>
        <v>0</v>
      </c>
      <c r="AA24" s="140">
        <f t="shared" si="28"/>
        <v>0</v>
      </c>
      <c r="AB24" s="42">
        <f t="shared" si="29"/>
        <v>0</v>
      </c>
      <c r="AC24" s="140">
        <f t="shared" si="30"/>
        <v>0</v>
      </c>
      <c r="AD24" s="36">
        <f>G24*(V24-25)/100</f>
        <v>0</v>
      </c>
      <c r="AE24" s="36">
        <f t="shared" ref="AE24" si="31">(AD24*0.2+AD24*0.05)</f>
        <v>0</v>
      </c>
      <c r="AF24" s="36">
        <f t="shared" ref="AF24" si="32">AD24-AE24</f>
        <v>0</v>
      </c>
      <c r="AG24" s="36"/>
      <c r="AI24" s="224" t="e">
        <f>#REF!-G24</f>
        <v>#REF!</v>
      </c>
    </row>
    <row r="25" spans="2:37" ht="46.9" customHeight="1">
      <c r="B25" s="123">
        <v>5</v>
      </c>
      <c r="C25" s="246" t="str">
        <f>'Paket PRIM 2019'!C30</f>
        <v>P 10</v>
      </c>
      <c r="D25" s="281" t="str">
        <f>'Paket PRIM 2019'!D30</f>
        <v>Paket X (sepuluh) Rehabilitasi/Pemeliharaan Berkala Ruas Jalan (057) Keru - Suranadi, RM + BMW 7 Ruas (Dana PRIM)</v>
      </c>
      <c r="E25" s="242">
        <f>'Paket PRIM 2019'!E32</f>
        <v>6.5069999999999997</v>
      </c>
      <c r="F25" s="242">
        <f>'Paket PRIM 2019'!F32</f>
        <v>16.931000000000001</v>
      </c>
      <c r="G25" s="122">
        <f>'Paket PRIM 2019'!H30</f>
        <v>19368000000</v>
      </c>
      <c r="H25" s="122">
        <f>'Paket PRIM 2019'!I32</f>
        <v>19368000000</v>
      </c>
      <c r="I25" s="101">
        <f>'Real UM&amp;MC (per-bulan) '!S26</f>
        <v>18213674550</v>
      </c>
      <c r="J25" s="197">
        <f>I25/H25*100</f>
        <v>94.040037949194542</v>
      </c>
      <c r="K25" s="197" t="e">
        <f>#REF!/#REF!*100</f>
        <v>#REF!</v>
      </c>
      <c r="L25" s="207">
        <v>16.992999999999999</v>
      </c>
      <c r="M25" s="207">
        <v>5.593</v>
      </c>
      <c r="N25" s="207">
        <f t="shared" ref="N25" si="33">M25-L25</f>
        <v>-11.399999999999999</v>
      </c>
      <c r="O25" s="202" t="e">
        <f>#REF!-#REF!</f>
        <v>#REF!</v>
      </c>
      <c r="P25" s="208" t="e">
        <f>O25/#REF!*100</f>
        <v>#REF!</v>
      </c>
      <c r="Q25" s="208" t="e">
        <f t="shared" ref="Q25" si="34">O25/H25*100</f>
        <v>#REF!</v>
      </c>
      <c r="R25" s="208" t="e">
        <f>U25/#REF!*100</f>
        <v>#REF!</v>
      </c>
      <c r="S25" s="208" t="e">
        <f>V25/#REF!*100</f>
        <v>#REF!</v>
      </c>
      <c r="T25" s="208" t="e">
        <f>S25-R25</f>
        <v>#REF!</v>
      </c>
      <c r="U25" s="299">
        <v>100</v>
      </c>
      <c r="V25" s="299">
        <v>100</v>
      </c>
      <c r="W25" s="325">
        <f>V25-U25</f>
        <v>0</v>
      </c>
      <c r="X25" s="201">
        <f t="shared" ref="X25" si="35">AC25</f>
        <v>28.01921185116602</v>
      </c>
      <c r="Y25" s="49"/>
      <c r="Z25" s="42">
        <f t="shared" ref="Z25:Z27" si="36">(U25*H25)/100</f>
        <v>19368000000</v>
      </c>
      <c r="AA25" s="140">
        <f t="shared" ref="AA25:AA27" si="37">Z25/$Z$11*100</f>
        <v>28.01921185116602</v>
      </c>
      <c r="AB25" s="42">
        <f t="shared" ref="AB25:AB27" si="38">(V25*H25)/100</f>
        <v>19368000000</v>
      </c>
      <c r="AC25" s="140">
        <f t="shared" ref="AC25:AC27" si="39">AB25/$Z$11*100</f>
        <v>28.01921185116602</v>
      </c>
      <c r="AD25" s="36">
        <f>G25*25/100</f>
        <v>4842000000</v>
      </c>
      <c r="AE25" s="36">
        <f>(AD25*0.2+AD25*0.05)</f>
        <v>1210500000</v>
      </c>
      <c r="AF25" s="36">
        <f>AD25-AE25</f>
        <v>3631500000</v>
      </c>
      <c r="AG25" s="36">
        <v>5765433075</v>
      </c>
      <c r="AH25" s="35">
        <f>AG25+AF25</f>
        <v>9396933075</v>
      </c>
      <c r="AI25" s="224" t="e">
        <f>#REF!-G25</f>
        <v>#REF!</v>
      </c>
    </row>
    <row r="26" spans="2:37" ht="18.75" hidden="1" customHeight="1">
      <c r="B26" s="123"/>
      <c r="C26" s="312"/>
      <c r="D26" s="313"/>
      <c r="E26" s="314"/>
      <c r="F26" s="314"/>
      <c r="G26" s="122"/>
      <c r="H26" s="315"/>
      <c r="I26" s="316"/>
      <c r="J26" s="318"/>
      <c r="K26" s="197"/>
      <c r="L26" s="317"/>
      <c r="M26" s="317"/>
      <c r="N26" s="317"/>
      <c r="O26" s="196"/>
      <c r="P26" s="200"/>
      <c r="Q26" s="200"/>
      <c r="R26" s="200"/>
      <c r="S26" s="200"/>
      <c r="T26" s="200"/>
      <c r="U26" s="305"/>
      <c r="V26" s="299"/>
      <c r="W26" s="235"/>
      <c r="X26" s="201"/>
      <c r="Y26" s="49"/>
      <c r="Z26" s="42">
        <f t="shared" si="36"/>
        <v>0</v>
      </c>
      <c r="AA26" s="140">
        <f t="shared" si="37"/>
        <v>0</v>
      </c>
      <c r="AB26" s="42">
        <f t="shared" si="38"/>
        <v>0</v>
      </c>
      <c r="AC26" s="140">
        <f t="shared" si="39"/>
        <v>0</v>
      </c>
      <c r="AD26" s="36">
        <f>G26*(V26-23)/100</f>
        <v>0</v>
      </c>
      <c r="AE26" s="36">
        <f>(AD26*0.2+AD26*0.05)</f>
        <v>0</v>
      </c>
      <c r="AF26" s="36">
        <f>AD26-AE26</f>
        <v>0</v>
      </c>
      <c r="AG26" s="36"/>
      <c r="AI26" s="224" t="e">
        <f>#REF!-G26</f>
        <v>#REF!</v>
      </c>
    </row>
    <row r="27" spans="2:37" ht="13.5" customHeight="1">
      <c r="B27" s="123"/>
      <c r="C27" s="124"/>
      <c r="D27" s="109"/>
      <c r="E27" s="125"/>
      <c r="F27" s="125"/>
      <c r="G27" s="126"/>
      <c r="H27" s="177"/>
      <c r="I27" s="126"/>
      <c r="J27" s="319"/>
      <c r="K27" s="121"/>
      <c r="L27" s="126"/>
      <c r="M27" s="126"/>
      <c r="N27" s="126"/>
      <c r="O27" s="126"/>
      <c r="P27" s="127"/>
      <c r="Q27" s="132"/>
      <c r="R27" s="132" t="e">
        <f>U27/#REF!*100</f>
        <v>#REF!</v>
      </c>
      <c r="S27" s="132"/>
      <c r="T27" s="132"/>
      <c r="U27" s="150"/>
      <c r="V27" s="150"/>
      <c r="W27" s="150"/>
      <c r="X27" s="241"/>
      <c r="Y27" s="52"/>
      <c r="Z27" s="42">
        <f t="shared" si="36"/>
        <v>0</v>
      </c>
      <c r="AA27" s="140">
        <f t="shared" si="37"/>
        <v>0</v>
      </c>
      <c r="AB27" s="42">
        <f t="shared" si="38"/>
        <v>0</v>
      </c>
      <c r="AC27" s="140">
        <f t="shared" si="39"/>
        <v>0</v>
      </c>
      <c r="AD27" s="36">
        <f>G27*(V27-25)/100</f>
        <v>0</v>
      </c>
      <c r="AE27" s="36">
        <f t="shared" ref="AE27" si="40">(AD27*0.2+AD27*0.05)</f>
        <v>0</v>
      </c>
      <c r="AF27" s="36">
        <f t="shared" ref="AF27" si="41">AD27-AE27</f>
        <v>0</v>
      </c>
      <c r="AG27" s="36"/>
      <c r="AI27" s="224" t="e">
        <f>#REF!-G27</f>
        <v>#REF!</v>
      </c>
    </row>
    <row r="28" spans="2:37" ht="26.25" customHeight="1">
      <c r="B28" s="172"/>
      <c r="C28" s="562" t="s">
        <v>13</v>
      </c>
      <c r="D28" s="563"/>
      <c r="E28" s="175">
        <f t="shared" ref="E28:I28" si="42">SUM(E13:E27)</f>
        <v>23.436999999999998</v>
      </c>
      <c r="F28" s="175">
        <f t="shared" si="42"/>
        <v>123.32899999999999</v>
      </c>
      <c r="G28" s="176">
        <f t="shared" si="42"/>
        <v>69124000000</v>
      </c>
      <c r="H28" s="176">
        <f t="shared" si="42"/>
        <v>69124000000</v>
      </c>
      <c r="I28" s="176">
        <f t="shared" si="42"/>
        <v>64712900900</v>
      </c>
      <c r="J28" s="329">
        <f>I28/H28*100</f>
        <v>93.618570829234415</v>
      </c>
      <c r="K28" s="330" t="e">
        <f>#REF!/#REF!*100</f>
        <v>#REF!</v>
      </c>
      <c r="L28" s="331">
        <f>SUM(L27:L27)/5</f>
        <v>0</v>
      </c>
      <c r="M28" s="331">
        <f>SUM(M27:M27)/5</f>
        <v>0</v>
      </c>
      <c r="N28" s="331">
        <f>M28-L28</f>
        <v>0</v>
      </c>
      <c r="O28" s="173">
        <f>SUM(O27:O27)</f>
        <v>0</v>
      </c>
      <c r="P28" s="174" t="e">
        <f>O28/#REF!*100</f>
        <v>#REF!</v>
      </c>
      <c r="Q28" s="332">
        <f>O28/H28*100</f>
        <v>0</v>
      </c>
      <c r="R28" s="174" t="e">
        <f>SUM(R11:R27)/11</f>
        <v>#REF!</v>
      </c>
      <c r="S28" s="174" t="e">
        <f>SUM(S11:S27)/11</f>
        <v>#REF!</v>
      </c>
      <c r="T28" s="174" t="e">
        <f t="shared" ref="T28" si="43">S28-R28</f>
        <v>#REF!</v>
      </c>
      <c r="U28" s="464">
        <f>AA28</f>
        <v>100</v>
      </c>
      <c r="V28" s="464">
        <f>AC28</f>
        <v>100</v>
      </c>
      <c r="W28" s="403">
        <f>V28-U28</f>
        <v>0</v>
      </c>
      <c r="X28" s="404">
        <f>SUM(X13:X27)</f>
        <v>100</v>
      </c>
      <c r="Y28" s="51"/>
      <c r="Z28" s="290">
        <f>SUM(Z13:Z27)</f>
        <v>69124000000</v>
      </c>
      <c r="AA28" s="141">
        <f>SUM(AA13:AA27)</f>
        <v>100</v>
      </c>
      <c r="AB28" s="290">
        <f>SUM(AB13:AB27)</f>
        <v>69124000000</v>
      </c>
      <c r="AC28" s="141">
        <f>SUM(AC13:AC27)</f>
        <v>100</v>
      </c>
      <c r="AD28" s="141"/>
      <c r="AE28" s="141"/>
      <c r="AF28" s="141"/>
      <c r="AG28" s="141"/>
      <c r="AI28" s="1"/>
    </row>
    <row r="29" spans="2:37" ht="25.15" customHeight="1">
      <c r="B29" s="295" t="s">
        <v>15</v>
      </c>
      <c r="C29" s="69" t="s">
        <v>29</v>
      </c>
      <c r="D29" s="69"/>
      <c r="E29" s="70"/>
      <c r="F29" s="71"/>
      <c r="G29" s="70"/>
      <c r="H29" s="231"/>
      <c r="I29" s="23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191"/>
      <c r="Y29" s="51"/>
      <c r="Z29" s="290">
        <f>H33</f>
        <v>2876000000</v>
      </c>
      <c r="AA29" s="290"/>
      <c r="AB29" s="290"/>
      <c r="AC29" s="290"/>
      <c r="AD29" s="35"/>
    </row>
    <row r="30" spans="2:37" ht="23.25" customHeight="1">
      <c r="B30" s="399">
        <v>1</v>
      </c>
      <c r="C30" s="565" t="str">
        <f>'Real UM&amp;MC (per-bulan) '!C33</f>
        <v>E-KATALOG</v>
      </c>
      <c r="D30" s="566"/>
      <c r="E30" s="244">
        <v>0</v>
      </c>
      <c r="F30" s="411">
        <f>7.4+8.8+3.6+4+6.35+1.85+1.57</f>
        <v>33.570000000000007</v>
      </c>
      <c r="G30" s="413">
        <f>'Real UM&amp;MC (per-bulan) '!R33</f>
        <v>1546450600</v>
      </c>
      <c r="H30" s="413">
        <f>G30</f>
        <v>1546450600</v>
      </c>
      <c r="I30" s="305">
        <f>'Real UM&amp;MC (per-bulan) '!S33</f>
        <v>214994307.36000001</v>
      </c>
      <c r="J30" s="322">
        <f>I30/G30*100</f>
        <v>13.902436156706202</v>
      </c>
      <c r="K30" s="134"/>
      <c r="L30" s="133"/>
      <c r="M30" s="133"/>
      <c r="N30" s="133"/>
      <c r="O30" s="134"/>
      <c r="P30" s="134"/>
      <c r="Q30" s="135"/>
      <c r="R30" s="135"/>
      <c r="S30" s="135"/>
      <c r="T30" s="135"/>
      <c r="U30" s="299">
        <v>36.25</v>
      </c>
      <c r="V30" s="299">
        <v>87.201990369107165</v>
      </c>
      <c r="W30" s="322">
        <f>V30-U30</f>
        <v>50.951990369107165</v>
      </c>
      <c r="X30" s="326">
        <f>AC30</f>
        <v>46.889280364221143</v>
      </c>
      <c r="Y30" s="51"/>
      <c r="Z30" s="42">
        <f>(U30*H30)/100</f>
        <v>560588342.5</v>
      </c>
      <c r="AA30" s="140">
        <f>Z30/$Z$29*100</f>
        <v>19.491945149513214</v>
      </c>
      <c r="AB30" s="42">
        <f>(V30*G30)/100</f>
        <v>1348535703.2750001</v>
      </c>
      <c r="AC30" s="140">
        <f>AB30/$Z$29*100</f>
        <v>46.889280364221143</v>
      </c>
      <c r="AD30" s="36"/>
      <c r="AE30" s="36"/>
    </row>
    <row r="31" spans="2:37" ht="23.25" customHeight="1">
      <c r="B31" s="308"/>
      <c r="C31" s="391"/>
      <c r="D31" s="392"/>
      <c r="E31" s="393"/>
      <c r="F31" s="412"/>
      <c r="G31" s="414"/>
      <c r="H31" s="414"/>
      <c r="I31" s="305"/>
      <c r="J31" s="394"/>
      <c r="K31" s="395"/>
      <c r="L31" s="396"/>
      <c r="M31" s="396"/>
      <c r="N31" s="396"/>
      <c r="O31" s="395"/>
      <c r="P31" s="395"/>
      <c r="Q31" s="397"/>
      <c r="R31" s="397"/>
      <c r="S31" s="397"/>
      <c r="T31" s="397"/>
      <c r="U31" s="405"/>
      <c r="V31" s="406"/>
      <c r="W31" s="394"/>
      <c r="X31" s="398"/>
      <c r="Y31" s="51"/>
      <c r="Z31" s="42"/>
      <c r="AA31" s="140"/>
      <c r="AB31" s="42"/>
      <c r="AC31" s="140"/>
      <c r="AD31" s="36"/>
      <c r="AE31" s="36"/>
    </row>
    <row r="32" spans="2:37" ht="23.25" customHeight="1">
      <c r="B32" s="123">
        <v>2</v>
      </c>
      <c r="C32" s="565" t="str">
        <f>'Real UM&amp;MC (per-bulan) '!C35</f>
        <v>SWAKELOLA</v>
      </c>
      <c r="D32" s="566"/>
      <c r="E32" s="271"/>
      <c r="F32" s="189">
        <v>23.46</v>
      </c>
      <c r="G32" s="413">
        <f>'Real UM&amp;MC (per-bulan) '!R35</f>
        <v>1329549400</v>
      </c>
      <c r="H32" s="413">
        <f>G32</f>
        <v>1329549400</v>
      </c>
      <c r="I32" s="305">
        <f>'Real UM&amp;MC (per-bulan) '!S35</f>
        <v>1101265488.0999999</v>
      </c>
      <c r="J32" s="424">
        <f>I32/G32*100</f>
        <v>82.829978946250506</v>
      </c>
      <c r="K32" s="134"/>
      <c r="L32" s="133"/>
      <c r="M32" s="133"/>
      <c r="N32" s="133"/>
      <c r="O32" s="134"/>
      <c r="P32" s="134"/>
      <c r="Q32" s="135"/>
      <c r="R32" s="135"/>
      <c r="S32" s="135"/>
      <c r="T32" s="135"/>
      <c r="U32" s="299">
        <v>42.56</v>
      </c>
      <c r="V32" s="299">
        <v>94.068586075030126</v>
      </c>
      <c r="W32" s="322">
        <f>V32-U32</f>
        <v>51.508586075030124</v>
      </c>
      <c r="X32" s="326">
        <f>AC32</f>
        <v>43.487076555947382</v>
      </c>
      <c r="Y32" s="51"/>
      <c r="Z32" s="42">
        <f>(U32*H32)/100</f>
        <v>565856224.63999999</v>
      </c>
      <c r="AA32" s="140">
        <f>Z32/$Z$29*100</f>
        <v>19.675112122392211</v>
      </c>
      <c r="AB32" s="42">
        <f>(V32*G32)/100</f>
        <v>1250688321.7490466</v>
      </c>
      <c r="AC32" s="140">
        <f>AB32/$Z$29*100</f>
        <v>43.487076555947382</v>
      </c>
      <c r="AD32" s="36"/>
      <c r="AE32" s="36"/>
    </row>
    <row r="33" spans="2:30" ht="23.25" customHeight="1">
      <c r="B33" s="228"/>
      <c r="C33" s="567" t="s">
        <v>12</v>
      </c>
      <c r="D33" s="568"/>
      <c r="E33" s="136">
        <f t="shared" ref="E33:I33" si="44">SUM(E30:E32)</f>
        <v>0</v>
      </c>
      <c r="F33" s="181">
        <f t="shared" si="44"/>
        <v>57.030000000000008</v>
      </c>
      <c r="G33" s="415">
        <f t="shared" si="44"/>
        <v>2876000000</v>
      </c>
      <c r="H33" s="415">
        <f t="shared" si="44"/>
        <v>2876000000</v>
      </c>
      <c r="I33" s="416">
        <f t="shared" si="44"/>
        <v>1316259795.46</v>
      </c>
      <c r="J33" s="323">
        <f>I33/H33*100</f>
        <v>45.767030440194716</v>
      </c>
      <c r="K33" s="137">
        <f t="shared" ref="K33:T33" si="45">SUM(K30:K32)</f>
        <v>0</v>
      </c>
      <c r="L33" s="137">
        <f t="shared" si="45"/>
        <v>0</v>
      </c>
      <c r="M33" s="137">
        <f t="shared" si="45"/>
        <v>0</v>
      </c>
      <c r="N33" s="137">
        <f t="shared" si="45"/>
        <v>0</v>
      </c>
      <c r="O33" s="137">
        <f t="shared" si="45"/>
        <v>0</v>
      </c>
      <c r="P33" s="137">
        <f t="shared" si="45"/>
        <v>0</v>
      </c>
      <c r="Q33" s="137">
        <f t="shared" si="45"/>
        <v>0</v>
      </c>
      <c r="R33" s="137">
        <f t="shared" si="45"/>
        <v>0</v>
      </c>
      <c r="S33" s="137">
        <f t="shared" si="45"/>
        <v>0</v>
      </c>
      <c r="T33" s="137">
        <f t="shared" si="45"/>
        <v>0</v>
      </c>
      <c r="U33" s="323">
        <f>AA33</f>
        <v>39.167057271905421</v>
      </c>
      <c r="V33" s="464">
        <f>AC33</f>
        <v>90.376356920168519</v>
      </c>
      <c r="W33" s="323">
        <f>V33-U33</f>
        <v>51.209299648263098</v>
      </c>
      <c r="X33" s="327">
        <f>AC33</f>
        <v>90.376356920168519</v>
      </c>
      <c r="Y33" s="51"/>
      <c r="Z33" s="290">
        <f>SUM(Z30:Z32)</f>
        <v>1126444567.1399999</v>
      </c>
      <c r="AA33" s="147">
        <f>SUM(AA30:AA32)</f>
        <v>39.167057271905421</v>
      </c>
      <c r="AB33" s="147">
        <f>SUM(AB30:AB32)</f>
        <v>2599224025.0240469</v>
      </c>
      <c r="AC33" s="141">
        <f>SUM(AC30:AC32)</f>
        <v>90.376356920168519</v>
      </c>
      <c r="AD33" s="35">
        <f>AB33/Z29*100</f>
        <v>90.376356920168533</v>
      </c>
    </row>
    <row r="34" spans="2:30" ht="30.75" customHeight="1" thickBot="1">
      <c r="B34" s="138"/>
      <c r="C34" s="569" t="s">
        <v>81</v>
      </c>
      <c r="D34" s="570"/>
      <c r="E34" s="178">
        <f t="shared" ref="E34:I34" si="46">E33+E28</f>
        <v>23.436999999999998</v>
      </c>
      <c r="F34" s="179">
        <f t="shared" si="46"/>
        <v>180.35900000000001</v>
      </c>
      <c r="G34" s="417">
        <f t="shared" si="46"/>
        <v>72000000000</v>
      </c>
      <c r="H34" s="417">
        <f t="shared" si="46"/>
        <v>72000000000</v>
      </c>
      <c r="I34" s="417">
        <f t="shared" si="46"/>
        <v>66029160695.459999</v>
      </c>
      <c r="J34" s="324">
        <f>I34/H34*100</f>
        <v>91.707167632583335</v>
      </c>
      <c r="K34" s="180" t="e">
        <f t="shared" ref="K34:T34" si="47">K33+K28</f>
        <v>#REF!</v>
      </c>
      <c r="L34" s="180">
        <f t="shared" si="47"/>
        <v>0</v>
      </c>
      <c r="M34" s="180">
        <f t="shared" si="47"/>
        <v>0</v>
      </c>
      <c r="N34" s="180">
        <f t="shared" si="47"/>
        <v>0</v>
      </c>
      <c r="O34" s="180">
        <f t="shared" si="47"/>
        <v>0</v>
      </c>
      <c r="P34" s="180" t="e">
        <f t="shared" si="47"/>
        <v>#REF!</v>
      </c>
      <c r="Q34" s="180">
        <f t="shared" si="47"/>
        <v>0</v>
      </c>
      <c r="R34" s="180" t="e">
        <f t="shared" si="47"/>
        <v>#REF!</v>
      </c>
      <c r="S34" s="180" t="e">
        <f t="shared" si="47"/>
        <v>#REF!</v>
      </c>
      <c r="T34" s="180" t="e">
        <f t="shared" si="47"/>
        <v>#REF!</v>
      </c>
      <c r="U34" s="407">
        <f>AA34</f>
        <v>97.570061898805562</v>
      </c>
      <c r="V34" s="408">
        <f>AC34</f>
        <v>99.615588923644509</v>
      </c>
      <c r="W34" s="408">
        <f>V34-U34</f>
        <v>2.0455270248389468</v>
      </c>
      <c r="X34" s="493">
        <f>AC34</f>
        <v>99.615588923644509</v>
      </c>
      <c r="Y34" s="50"/>
      <c r="Z34" s="45">
        <f>Z33+Z28</f>
        <v>70250444567.139999</v>
      </c>
      <c r="AA34" s="142">
        <f>Z34/Z8*100</f>
        <v>97.570061898805562</v>
      </c>
      <c r="AB34" s="142">
        <f>AB33+AB28</f>
        <v>71723224025.024048</v>
      </c>
      <c r="AC34" s="142">
        <f>AB34/Z8*100</f>
        <v>99.615588923644509</v>
      </c>
      <c r="AD34" s="35">
        <f>AB34/Z29*100</f>
        <v>2493.8534083805303</v>
      </c>
    </row>
    <row r="35" spans="2:30" ht="19.899999999999999" customHeight="1">
      <c r="H35" s="35"/>
      <c r="I35" s="64"/>
      <c r="Q35" s="571"/>
      <c r="R35" s="571"/>
      <c r="S35" s="571"/>
      <c r="T35" s="571"/>
      <c r="U35" s="571"/>
      <c r="V35" s="571"/>
      <c r="W35" s="571"/>
      <c r="X35" s="571"/>
      <c r="Z35" s="187"/>
      <c r="AA35" s="188">
        <f>Z34/Z8*100</f>
        <v>97.570061898805562</v>
      </c>
      <c r="AB35" s="187"/>
      <c r="AC35" s="188">
        <f>AB34/Z8*100</f>
        <v>99.615588923644509</v>
      </c>
      <c r="AD35" s="187"/>
    </row>
    <row r="36" spans="2:30" ht="19.899999999999999" customHeight="1">
      <c r="G36" s="402"/>
      <c r="H36" s="35"/>
      <c r="I36" s="534" t="s">
        <v>104</v>
      </c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143"/>
      <c r="Z36" s="187"/>
      <c r="AA36" s="188"/>
      <c r="AB36" s="187"/>
      <c r="AC36" s="188"/>
      <c r="AD36" s="187"/>
    </row>
    <row r="37" spans="2:30" ht="19.899999999999999" customHeight="1">
      <c r="G37" s="36"/>
      <c r="H37" s="35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143"/>
      <c r="Z37" s="187"/>
      <c r="AA37" s="188"/>
      <c r="AB37" s="187"/>
      <c r="AC37" s="188"/>
      <c r="AD37" s="187"/>
    </row>
    <row r="38" spans="2:30" ht="19.899999999999999" customHeight="1">
      <c r="D38" s="428"/>
      <c r="E38" s="429"/>
      <c r="F38" s="429"/>
      <c r="G38" s="430"/>
      <c r="H38" s="35"/>
      <c r="I38" s="64"/>
      <c r="Q38" s="143"/>
      <c r="R38" s="143"/>
      <c r="S38" s="143"/>
      <c r="T38" s="143"/>
      <c r="U38" s="143"/>
      <c r="V38" s="143"/>
      <c r="W38" s="143"/>
      <c r="X38" s="143"/>
      <c r="Z38" s="187"/>
      <c r="AA38" s="188"/>
      <c r="AB38" s="187"/>
      <c r="AC38" s="188"/>
      <c r="AD38" s="187"/>
    </row>
    <row r="39" spans="2:30" ht="19.899999999999999" customHeight="1">
      <c r="D39" s="428">
        <v>1509658000</v>
      </c>
      <c r="E39" s="429"/>
      <c r="F39" s="429"/>
      <c r="G39" s="429">
        <v>26005000</v>
      </c>
      <c r="H39" s="35"/>
      <c r="I39" s="64"/>
      <c r="Q39" s="143"/>
      <c r="R39" s="143"/>
      <c r="S39" s="143"/>
      <c r="T39" s="143"/>
      <c r="U39" s="143"/>
      <c r="V39" s="143"/>
      <c r="W39" s="143"/>
      <c r="X39" s="143"/>
      <c r="Z39" s="187"/>
      <c r="AA39" s="188"/>
      <c r="AB39" s="187"/>
      <c r="AC39" s="188"/>
      <c r="AD39" s="187"/>
    </row>
    <row r="40" spans="2:30" ht="19.899999999999999" customHeight="1">
      <c r="D40" s="428">
        <v>2720457000</v>
      </c>
      <c r="E40" s="429"/>
      <c r="F40" s="429"/>
      <c r="G40" s="429">
        <v>1483653000</v>
      </c>
      <c r="H40" s="35"/>
      <c r="I40" s="535" t="s">
        <v>105</v>
      </c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143"/>
      <c r="Z40" s="187"/>
      <c r="AA40" s="188"/>
      <c r="AB40" s="187"/>
      <c r="AC40" s="188"/>
      <c r="AD40" s="187"/>
    </row>
    <row r="41" spans="2:30" ht="19.899999999999999" customHeight="1">
      <c r="D41" s="428">
        <f>SUM(D38:D40)</f>
        <v>4230115000</v>
      </c>
      <c r="E41" s="429"/>
      <c r="F41" s="429"/>
      <c r="G41" s="429">
        <v>2720457000</v>
      </c>
      <c r="H41" s="35"/>
      <c r="I41" s="536" t="s">
        <v>106</v>
      </c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143"/>
      <c r="Z41" s="187"/>
      <c r="AA41" s="188"/>
      <c r="AB41" s="187"/>
      <c r="AC41" s="188"/>
      <c r="AD41" s="187"/>
    </row>
    <row r="42" spans="2:30" ht="19.899999999999999" customHeight="1">
      <c r="D42" s="428"/>
      <c r="E42" s="429"/>
      <c r="F42" s="429"/>
      <c r="G42" s="429">
        <f>SUM(G39:G41)</f>
        <v>4230115000</v>
      </c>
      <c r="H42" s="35"/>
      <c r="I42" s="64"/>
      <c r="Q42" s="143"/>
      <c r="R42" s="143"/>
      <c r="S42" s="143"/>
      <c r="T42" s="143"/>
      <c r="U42" s="143"/>
      <c r="V42" s="143"/>
      <c r="W42" s="143"/>
      <c r="X42" s="143"/>
      <c r="Z42" s="187"/>
      <c r="AA42" s="188"/>
      <c r="AB42" s="187"/>
      <c r="AC42" s="188"/>
      <c r="AD42" s="187"/>
    </row>
    <row r="43" spans="2:30" ht="19.899999999999999" customHeight="1">
      <c r="D43" s="431">
        <f>[1]GELOGOR!$F$61+[1]BELJAGA!$F$59</f>
        <v>1478708</v>
      </c>
      <c r="E43" s="429"/>
      <c r="F43" s="429"/>
      <c r="G43" s="429"/>
      <c r="H43" s="35"/>
      <c r="I43" s="64"/>
      <c r="Q43" s="143"/>
      <c r="R43" s="143"/>
      <c r="S43" s="143"/>
      <c r="T43" s="143"/>
      <c r="U43" s="143"/>
      <c r="V43" s="143"/>
      <c r="W43" s="143"/>
      <c r="X43" s="143"/>
      <c r="Z43" s="187"/>
      <c r="AA43" s="188"/>
      <c r="AB43" s="187"/>
      <c r="AC43" s="188"/>
      <c r="AD43" s="187"/>
    </row>
    <row r="44" spans="2:30" ht="19.899999999999999" customHeight="1">
      <c r="D44" s="432">
        <f>D43/G32*100</f>
        <v>0.11121873320389601</v>
      </c>
      <c r="E44" s="429"/>
      <c r="F44" s="429"/>
      <c r="G44" s="429"/>
      <c r="H44" s="35"/>
      <c r="I44" s="64"/>
      <c r="Q44" s="143"/>
      <c r="R44" s="143"/>
      <c r="S44" s="143"/>
      <c r="T44" s="143"/>
      <c r="U44" s="143"/>
      <c r="V44" s="143"/>
      <c r="W44" s="143"/>
      <c r="X44" s="143"/>
      <c r="Z44" s="187"/>
      <c r="AA44" s="188"/>
      <c r="AB44" s="187"/>
      <c r="AC44" s="188"/>
      <c r="AD44" s="187"/>
    </row>
    <row r="45" spans="2:30" ht="19.899999999999999" customHeight="1">
      <c r="D45" s="428"/>
      <c r="E45" s="429"/>
      <c r="F45" s="429"/>
      <c r="G45" s="429"/>
      <c r="H45" s="35"/>
      <c r="I45" s="64"/>
      <c r="Q45" s="143"/>
      <c r="R45" s="143"/>
      <c r="S45" s="143"/>
      <c r="T45" s="143"/>
      <c r="U45" s="143"/>
      <c r="V45" s="143"/>
      <c r="W45" s="143"/>
      <c r="X45" s="143"/>
      <c r="Z45" s="187"/>
      <c r="AA45" s="188"/>
      <c r="AB45" s="187"/>
      <c r="AC45" s="188"/>
      <c r="AD45" s="187"/>
    </row>
    <row r="46" spans="2:30" ht="19.899999999999999" customHeight="1">
      <c r="D46" s="428"/>
      <c r="E46" s="429"/>
      <c r="F46" s="429"/>
      <c r="G46" s="429"/>
      <c r="H46" s="35"/>
      <c r="I46" s="64"/>
      <c r="Q46" s="143"/>
      <c r="R46" s="143"/>
      <c r="S46" s="143"/>
      <c r="T46" s="143"/>
      <c r="U46" s="143"/>
      <c r="V46" s="143"/>
      <c r="W46" s="143"/>
      <c r="X46" s="143"/>
      <c r="Z46" s="187"/>
      <c r="AA46" s="188"/>
      <c r="AB46" s="187"/>
      <c r="AC46" s="188"/>
      <c r="AD46" s="187"/>
    </row>
    <row r="47" spans="2:30" ht="19.899999999999999" customHeight="1">
      <c r="D47" s="432">
        <f>[1]GELOGOR!$F$61+[1]BELJAGA!$F$65+[1]KBNTALO!$F$63</f>
        <v>109590734.82499999</v>
      </c>
      <c r="E47" s="429"/>
      <c r="F47" s="429"/>
      <c r="G47" s="429"/>
      <c r="H47" s="35"/>
      <c r="I47" s="64"/>
      <c r="Q47" s="143"/>
      <c r="R47" s="143"/>
      <c r="S47" s="143"/>
      <c r="T47" s="143"/>
      <c r="U47" s="143"/>
      <c r="V47" s="143"/>
      <c r="W47" s="143"/>
      <c r="X47" s="143"/>
      <c r="Z47" s="187"/>
      <c r="AA47" s="188"/>
      <c r="AB47" s="187"/>
      <c r="AC47" s="188"/>
      <c r="AD47" s="187"/>
    </row>
    <row r="48" spans="2:30" ht="19.899999999999999" customHeight="1">
      <c r="D48" s="432">
        <f>D47*0.1</f>
        <v>10959073.4825</v>
      </c>
      <c r="E48" s="429"/>
      <c r="F48" s="429"/>
      <c r="G48" s="429"/>
      <c r="H48" s="35"/>
      <c r="I48" s="64"/>
      <c r="Q48" s="143"/>
      <c r="R48" s="143"/>
      <c r="S48" s="143"/>
      <c r="T48" s="143"/>
      <c r="U48" s="143"/>
      <c r="V48" s="143"/>
      <c r="W48" s="143"/>
      <c r="X48" s="143"/>
      <c r="Z48" s="187"/>
      <c r="AA48" s="188"/>
      <c r="AB48" s="187"/>
      <c r="AC48" s="188"/>
      <c r="AD48" s="187"/>
    </row>
    <row r="49" spans="3:30" ht="19.899999999999999" customHeight="1">
      <c r="C49" s="303" t="s">
        <v>97</v>
      </c>
      <c r="D49" s="432">
        <f>SUM(D47:D48)</f>
        <v>120549808.30749999</v>
      </c>
      <c r="E49" s="429"/>
      <c r="F49" s="429"/>
      <c r="G49" s="429"/>
      <c r="H49" s="35"/>
      <c r="I49" s="64"/>
      <c r="Q49" s="143"/>
      <c r="R49" s="143"/>
      <c r="S49" s="143"/>
      <c r="T49" s="143"/>
      <c r="U49" s="143"/>
      <c r="V49" s="143"/>
      <c r="W49" s="143"/>
      <c r="X49" s="143"/>
      <c r="Z49" s="187"/>
      <c r="AA49" s="188"/>
      <c r="AB49" s="187"/>
      <c r="AC49" s="188"/>
      <c r="AD49" s="187"/>
    </row>
    <row r="50" spans="3:30" ht="19.899999999999999" customHeight="1">
      <c r="C50" s="304"/>
      <c r="D50" s="428">
        <f>D49/G32*100</f>
        <v>9.0669672226921385</v>
      </c>
      <c r="E50" s="429"/>
      <c r="F50" s="429"/>
      <c r="G50" s="429"/>
      <c r="H50" s="35"/>
      <c r="I50" s="64"/>
      <c r="Q50" s="143"/>
      <c r="R50" s="143"/>
      <c r="S50" s="143"/>
      <c r="T50" s="143"/>
      <c r="U50" s="143"/>
      <c r="V50" s="143"/>
      <c r="W50" s="143"/>
      <c r="X50" s="143"/>
      <c r="Z50" s="187"/>
      <c r="AA50" s="188"/>
      <c r="AB50" s="187"/>
      <c r="AC50" s="188"/>
      <c r="AD50" s="187"/>
    </row>
    <row r="51" spans="3:30" ht="19.899999999999999" customHeight="1">
      <c r="C51" s="304"/>
      <c r="H51" s="35"/>
      <c r="I51" s="64"/>
      <c r="Q51" s="143"/>
      <c r="R51" s="143"/>
      <c r="S51" s="143"/>
      <c r="T51" s="143"/>
      <c r="U51" s="143"/>
      <c r="V51" s="143"/>
      <c r="W51" s="143"/>
      <c r="X51" s="143"/>
      <c r="Z51" s="187"/>
      <c r="AA51" s="188"/>
      <c r="AB51" s="187"/>
      <c r="AC51" s="188"/>
      <c r="AD51" s="187"/>
    </row>
    <row r="52" spans="3:30">
      <c r="H52" s="64"/>
      <c r="I52" s="35">
        <v>35431503316</v>
      </c>
    </row>
    <row r="53" spans="3:30" ht="21" customHeight="1">
      <c r="D53" s="333" t="s">
        <v>100</v>
      </c>
      <c r="G53" s="64"/>
      <c r="H53" s="148"/>
      <c r="I53" s="64">
        <v>4336653976</v>
      </c>
      <c r="K53" s="26"/>
      <c r="O53" s="63"/>
      <c r="V53">
        <v>90</v>
      </c>
      <c r="X53">
        <f>21.39/4</f>
        <v>5.3475000000000001</v>
      </c>
      <c r="AA53">
        <f>(Z33/Z29)*100</f>
        <v>39.167057271905421</v>
      </c>
    </row>
    <row r="54" spans="3:30">
      <c r="D54" s="333" t="s">
        <v>99</v>
      </c>
      <c r="G54" s="35"/>
      <c r="H54" s="148"/>
      <c r="I54" s="148">
        <f>I34+3000000000</f>
        <v>69029160695.459991</v>
      </c>
      <c r="X54">
        <f>X53*3</f>
        <v>16.0425</v>
      </c>
    </row>
    <row r="55" spans="3:30">
      <c r="D55" s="333" t="s">
        <v>98</v>
      </c>
      <c r="G55" s="35"/>
      <c r="H55" s="64"/>
      <c r="I55" s="148">
        <v>32913805176</v>
      </c>
      <c r="X55">
        <f>X54+17.26</f>
        <v>33.302500000000002</v>
      </c>
    </row>
    <row r="56" spans="3:30">
      <c r="G56" s="64"/>
      <c r="H56" s="35"/>
      <c r="I56" s="148"/>
    </row>
    <row r="57" spans="3:30" ht="14.25">
      <c r="G57" s="233"/>
      <c r="I57" s="176">
        <v>5351276300</v>
      </c>
    </row>
    <row r="58" spans="3:30">
      <c r="G58" s="35"/>
      <c r="H58" s="64"/>
    </row>
    <row r="59" spans="3:30">
      <c r="I59" s="275">
        <v>30080227016</v>
      </c>
    </row>
    <row r="60" spans="3:30" ht="14.25">
      <c r="H60" s="232"/>
      <c r="I60" s="148">
        <v>3000000000</v>
      </c>
    </row>
    <row r="62" spans="3:30">
      <c r="H62" s="158"/>
      <c r="I62" s="64">
        <f>SUM(I57:I60)</f>
        <v>38431503316</v>
      </c>
    </row>
    <row r="63" spans="3:30">
      <c r="H63" s="157"/>
      <c r="I63">
        <v>38431503316</v>
      </c>
    </row>
    <row r="64" spans="3:30">
      <c r="H64" s="64"/>
    </row>
    <row r="67" spans="7:9">
      <c r="I67" s="64">
        <f>G33-I33</f>
        <v>1559740204.54</v>
      </c>
    </row>
    <row r="69" spans="7:9">
      <c r="G69" s="64"/>
    </row>
    <row r="70" spans="7:9" ht="13.5" thickBot="1"/>
    <row r="71" spans="7:9" ht="15.75" thickBot="1">
      <c r="G71" s="152"/>
      <c r="H71" s="160"/>
    </row>
    <row r="72" spans="7:9" ht="15.75" thickBot="1">
      <c r="G72" s="154"/>
      <c r="H72" s="156"/>
    </row>
    <row r="73" spans="7:9" ht="13.5" thickBot="1">
      <c r="G73" s="153"/>
      <c r="H73" s="156"/>
    </row>
    <row r="74" spans="7:9" ht="15.75" thickBot="1">
      <c r="G74" s="152"/>
      <c r="H74" s="156"/>
    </row>
    <row r="75" spans="7:9" ht="15.75" thickBot="1">
      <c r="G75" s="155"/>
      <c r="H75" s="156"/>
    </row>
    <row r="76" spans="7:9" ht="13.5" thickBot="1">
      <c r="G76" s="156"/>
    </row>
    <row r="77" spans="7:9" ht="15.75" thickBot="1">
      <c r="G77" s="152"/>
    </row>
    <row r="78" spans="7:9" ht="15.75" thickBot="1">
      <c r="G78" s="155"/>
    </row>
    <row r="79" spans="7:9" ht="13.5" thickBot="1">
      <c r="G79" s="156"/>
    </row>
    <row r="81" spans="7:7">
      <c r="G81" s="148"/>
    </row>
    <row r="82" spans="7:7">
      <c r="G82" s="151"/>
    </row>
    <row r="83" spans="7:7">
      <c r="G83" s="159"/>
    </row>
    <row r="84" spans="7:7">
      <c r="G84" s="64"/>
    </row>
    <row r="85" spans="7:7">
      <c r="G85" s="64"/>
    </row>
    <row r="92" spans="7:7">
      <c r="G92" s="35">
        <f>I34*0.4</f>
        <v>26411664278.184002</v>
      </c>
    </row>
  </sheetData>
  <mergeCells count="39">
    <mergeCell ref="C32:D32"/>
    <mergeCell ref="C33:D33"/>
    <mergeCell ref="C34:D34"/>
    <mergeCell ref="Q35:X35"/>
    <mergeCell ref="V7:V8"/>
    <mergeCell ref="W7:W8"/>
    <mergeCell ref="C30:D30"/>
    <mergeCell ref="O7:O8"/>
    <mergeCell ref="P7:P8"/>
    <mergeCell ref="R7:R8"/>
    <mergeCell ref="S7:S8"/>
    <mergeCell ref="I7:I8"/>
    <mergeCell ref="J7:K8"/>
    <mergeCell ref="L7:L8"/>
    <mergeCell ref="M7:M8"/>
    <mergeCell ref="N7:N8"/>
    <mergeCell ref="U6:W6"/>
    <mergeCell ref="X6:X8"/>
    <mergeCell ref="Z12:AA12"/>
    <mergeCell ref="AB12:AC12"/>
    <mergeCell ref="C28:D28"/>
    <mergeCell ref="T7:T8"/>
    <mergeCell ref="U7:U8"/>
    <mergeCell ref="I36:W37"/>
    <mergeCell ref="I40:W40"/>
    <mergeCell ref="I41:W41"/>
    <mergeCell ref="B2:X2"/>
    <mergeCell ref="B3:X3"/>
    <mergeCell ref="B4:X4"/>
    <mergeCell ref="B6:B8"/>
    <mergeCell ref="C6:C8"/>
    <mergeCell ref="D6:D8"/>
    <mergeCell ref="E6:F7"/>
    <mergeCell ref="G6:H6"/>
    <mergeCell ref="I6:K6"/>
    <mergeCell ref="L6:N6"/>
    <mergeCell ref="O6:P6"/>
    <mergeCell ref="Q6:Q8"/>
    <mergeCell ref="R6:T6"/>
  </mergeCells>
  <printOptions horizontalCentered="1"/>
  <pageMargins left="0.25" right="0" top="0.3" bottom="0" header="0.34" footer="0.14000000000000001"/>
  <pageSetup paperSize="9" scale="70" orientation="landscape" horizontalDpi="360" verticalDpi="360" r:id="rId1"/>
  <headerFooter alignWithMargins="0"/>
  <rowBreaks count="1" manualBreakCount="1">
    <brk id="4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E84"/>
  <sheetViews>
    <sheetView view="pageBreakPreview" topLeftCell="H16" zoomScale="120" zoomScaleSheetLayoutView="120" workbookViewId="0">
      <selection activeCell="P40" sqref="P40"/>
    </sheetView>
  </sheetViews>
  <sheetFormatPr defaultRowHeight="12.75"/>
  <cols>
    <col min="1" max="1" width="0.42578125" customWidth="1"/>
    <col min="2" max="2" width="5" customWidth="1"/>
    <col min="3" max="3" width="13.140625" customWidth="1"/>
    <col min="4" max="4" width="46.7109375" style="1" hidden="1" customWidth="1"/>
    <col min="5" max="5" width="0.140625" hidden="1" customWidth="1"/>
    <col min="6" max="6" width="16.42578125" customWidth="1"/>
    <col min="7" max="7" width="16.7109375" customWidth="1"/>
    <col min="8" max="8" width="14.7109375" customWidth="1"/>
    <col min="9" max="9" width="16.42578125" customWidth="1"/>
    <col min="10" max="10" width="15.7109375" customWidth="1"/>
    <col min="11" max="11" width="18.140625" customWidth="1"/>
    <col min="12" max="12" width="16.5703125" customWidth="1"/>
    <col min="13" max="13" width="16.140625" customWidth="1"/>
    <col min="14" max="14" width="15.140625" customWidth="1"/>
    <col min="15" max="15" width="15" customWidth="1"/>
    <col min="16" max="16" width="10" customWidth="1"/>
    <col min="17" max="17" width="18.5703125" customWidth="1"/>
    <col min="18" max="18" width="15.5703125" customWidth="1"/>
    <col min="19" max="19" width="16.7109375" customWidth="1"/>
    <col min="20" max="20" width="18" customWidth="1"/>
    <col min="21" max="21" width="9.85546875" customWidth="1"/>
    <col min="22" max="22" width="20.140625" customWidth="1"/>
    <col min="23" max="23" width="16.5703125" customWidth="1"/>
    <col min="24" max="24" width="22.28515625" customWidth="1"/>
    <col min="25" max="25" width="29" customWidth="1"/>
    <col min="26" max="26" width="28.5703125" customWidth="1"/>
    <col min="27" max="27" width="26.140625" customWidth="1"/>
    <col min="28" max="28" width="11.85546875" customWidth="1"/>
  </cols>
  <sheetData>
    <row r="1" spans="2:31" ht="7.5" customHeight="1">
      <c r="B1" s="17"/>
      <c r="C1" s="17"/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2:31" ht="22.5" customHeight="1">
      <c r="B2" s="593" t="s">
        <v>127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292"/>
      <c r="U2" s="292"/>
      <c r="V2" s="292"/>
      <c r="W2" s="292"/>
      <c r="X2" s="2"/>
      <c r="Y2" s="2"/>
      <c r="Z2" s="2"/>
      <c r="AA2" s="2"/>
    </row>
    <row r="3" spans="2:31" ht="19.5">
      <c r="B3" s="538" t="s">
        <v>93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287"/>
      <c r="U3" s="285"/>
      <c r="V3" s="285"/>
      <c r="W3" s="285"/>
      <c r="X3" s="3"/>
      <c r="Y3" s="3"/>
      <c r="Z3" s="3"/>
      <c r="AA3" s="3"/>
    </row>
    <row r="4" spans="2:31" ht="16.5" customHeight="1">
      <c r="B4" s="526" t="s">
        <v>126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286"/>
      <c r="U4" s="286"/>
      <c r="V4" s="286"/>
      <c r="W4" s="286"/>
      <c r="X4" s="4"/>
      <c r="Y4" s="4"/>
      <c r="Z4" s="4"/>
      <c r="AA4" s="4"/>
    </row>
    <row r="5" spans="2:31" ht="16.5" customHeight="1"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4"/>
      <c r="Y5" s="4"/>
      <c r="Z5" s="4"/>
      <c r="AA5" s="4"/>
    </row>
    <row r="6" spans="2:31" ht="20.25" customHeight="1" thickBot="1">
      <c r="D6"/>
      <c r="F6" s="18"/>
      <c r="G6" s="18"/>
      <c r="H6" s="18"/>
      <c r="I6" s="18"/>
      <c r="J6" s="18"/>
      <c r="K6" s="17"/>
      <c r="T6" s="576" t="s">
        <v>173</v>
      </c>
      <c r="U6" s="577"/>
      <c r="X6" s="18"/>
    </row>
    <row r="7" spans="2:31" ht="21" customHeight="1">
      <c r="B7" s="578" t="s">
        <v>20</v>
      </c>
      <c r="C7" s="514" t="s">
        <v>9</v>
      </c>
      <c r="D7" s="514" t="s">
        <v>1</v>
      </c>
      <c r="E7" s="582" t="s">
        <v>48</v>
      </c>
      <c r="F7" s="516" t="s">
        <v>88</v>
      </c>
      <c r="G7" s="545" t="s">
        <v>42</v>
      </c>
      <c r="H7" s="586"/>
      <c r="I7" s="586"/>
      <c r="J7" s="586"/>
      <c r="K7" s="586"/>
      <c r="L7" s="586"/>
      <c r="M7" s="586"/>
      <c r="N7" s="586"/>
      <c r="O7" s="586"/>
      <c r="P7" s="586"/>
      <c r="Q7" s="294"/>
      <c r="R7" s="514" t="s">
        <v>44</v>
      </c>
      <c r="S7" s="514" t="s">
        <v>50</v>
      </c>
      <c r="T7" s="514" t="s">
        <v>49</v>
      </c>
      <c r="U7" s="522" t="s">
        <v>43</v>
      </c>
      <c r="V7" s="596" t="s">
        <v>95</v>
      </c>
      <c r="W7" s="47"/>
    </row>
    <row r="8" spans="2:31" ht="24" customHeight="1">
      <c r="B8" s="579"/>
      <c r="C8" s="581"/>
      <c r="D8" s="581"/>
      <c r="E8" s="583"/>
      <c r="F8" s="585"/>
      <c r="G8" s="587" t="s">
        <v>33</v>
      </c>
      <c r="H8" s="589" t="s">
        <v>52</v>
      </c>
      <c r="I8" s="590"/>
      <c r="J8" s="590"/>
      <c r="K8" s="590"/>
      <c r="L8" s="590"/>
      <c r="M8" s="590"/>
      <c r="N8" s="590"/>
      <c r="O8" s="590"/>
      <c r="P8" s="590"/>
      <c r="Q8" s="591"/>
      <c r="R8" s="581"/>
      <c r="S8" s="581"/>
      <c r="T8" s="581"/>
      <c r="U8" s="523"/>
      <c r="V8" s="596"/>
      <c r="W8" s="47"/>
    </row>
    <row r="9" spans="2:31" ht="24" customHeight="1">
      <c r="B9" s="580"/>
      <c r="C9" s="515"/>
      <c r="D9" s="515"/>
      <c r="E9" s="584"/>
      <c r="F9" s="518"/>
      <c r="G9" s="588"/>
      <c r="H9" s="236" t="s">
        <v>34</v>
      </c>
      <c r="I9" s="236" t="s">
        <v>35</v>
      </c>
      <c r="J9" s="236" t="s">
        <v>36</v>
      </c>
      <c r="K9" s="236" t="s">
        <v>37</v>
      </c>
      <c r="L9" s="236" t="s">
        <v>38</v>
      </c>
      <c r="M9" s="236" t="s">
        <v>39</v>
      </c>
      <c r="N9" s="236" t="s">
        <v>40</v>
      </c>
      <c r="O9" s="149" t="s">
        <v>41</v>
      </c>
      <c r="P9" s="149" t="s">
        <v>76</v>
      </c>
      <c r="Q9" s="149" t="s">
        <v>89</v>
      </c>
      <c r="R9" s="515"/>
      <c r="S9" s="515"/>
      <c r="T9" s="515"/>
      <c r="U9" s="592"/>
      <c r="V9" s="596"/>
      <c r="W9" s="47"/>
    </row>
    <row r="10" spans="2:31" ht="15" customHeight="1">
      <c r="B10" s="72">
        <v>1</v>
      </c>
      <c r="C10" s="73">
        <v>2</v>
      </c>
      <c r="D10" s="74">
        <v>2</v>
      </c>
      <c r="E10" s="75">
        <v>3</v>
      </c>
      <c r="F10" s="115">
        <v>3</v>
      </c>
      <c r="G10" s="115">
        <v>4</v>
      </c>
      <c r="H10" s="115">
        <v>5</v>
      </c>
      <c r="I10" s="115">
        <v>6</v>
      </c>
      <c r="J10" s="115">
        <v>7</v>
      </c>
      <c r="K10" s="115">
        <v>8</v>
      </c>
      <c r="L10" s="115">
        <v>9</v>
      </c>
      <c r="M10" s="115">
        <v>10</v>
      </c>
      <c r="N10" s="115">
        <v>11</v>
      </c>
      <c r="O10" s="115">
        <v>12</v>
      </c>
      <c r="P10" s="115">
        <v>13</v>
      </c>
      <c r="Q10" s="115"/>
      <c r="R10" s="115">
        <v>14</v>
      </c>
      <c r="S10" s="115">
        <v>15</v>
      </c>
      <c r="T10" s="115">
        <v>16</v>
      </c>
      <c r="U10" s="161">
        <v>17</v>
      </c>
      <c r="V10" s="596"/>
      <c r="W10" s="38"/>
    </row>
    <row r="11" spans="2:31" ht="13.5" customHeight="1">
      <c r="B11" s="76"/>
      <c r="C11" s="77"/>
      <c r="D11" s="78"/>
      <c r="E11" s="79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2"/>
      <c r="T11" s="82"/>
      <c r="U11" s="214"/>
      <c r="V11" s="596"/>
      <c r="W11" s="39"/>
    </row>
    <row r="12" spans="2:31" ht="29.45" customHeight="1">
      <c r="B12" s="83" t="s">
        <v>14</v>
      </c>
      <c r="C12" s="84" t="s">
        <v>8</v>
      </c>
      <c r="D12" s="85"/>
      <c r="E12" s="8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215"/>
      <c r="V12" s="596"/>
      <c r="W12" s="40">
        <f>3%*F14</f>
        <v>306210000</v>
      </c>
      <c r="X12" s="64">
        <f>W12+R14</f>
        <v>816560000</v>
      </c>
    </row>
    <row r="13" spans="2:31" ht="9.75" customHeight="1">
      <c r="B13" s="88"/>
      <c r="C13" s="89"/>
      <c r="D13" s="90"/>
      <c r="E13" s="91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/>
      <c r="T13" s="94"/>
      <c r="U13" s="216"/>
      <c r="V13" s="53"/>
      <c r="W13" s="41"/>
    </row>
    <row r="14" spans="2:31" ht="40.15" customHeight="1">
      <c r="B14" s="184">
        <v>1</v>
      </c>
      <c r="C14" s="246" t="str">
        <f>'Paket PRIM 2019'!C14</f>
        <v>P 6</v>
      </c>
      <c r="D14" s="112" t="s">
        <v>10</v>
      </c>
      <c r="E14" s="113">
        <v>42265902000</v>
      </c>
      <c r="F14" s="284">
        <f>'Paket PRIM 2019'!I16</f>
        <v>10207000000</v>
      </c>
      <c r="G14" s="279">
        <f>'Paket PRIM 2019'!I14*0.2</f>
        <v>1988918400</v>
      </c>
      <c r="H14" s="114">
        <v>0</v>
      </c>
      <c r="I14" s="114"/>
      <c r="J14" s="114"/>
      <c r="K14" s="114">
        <v>3010491750</v>
      </c>
      <c r="L14" s="302">
        <v>1299198750</v>
      </c>
      <c r="M14" s="96">
        <v>2522087250</v>
      </c>
      <c r="N14" s="99"/>
      <c r="O14" s="99"/>
      <c r="P14" s="99"/>
      <c r="Q14" s="99">
        <f>SUM(H14:P14)</f>
        <v>6831777750</v>
      </c>
      <c r="R14" s="192">
        <f>5%*F14</f>
        <v>510350000</v>
      </c>
      <c r="S14" s="192">
        <f>SUM(H14:P14)+G14</f>
        <v>8820696150</v>
      </c>
      <c r="T14" s="192">
        <f>F14-S14</f>
        <v>1386303850</v>
      </c>
      <c r="U14" s="449">
        <f>S14/F14*100</f>
        <v>86.41810669148623</v>
      </c>
      <c r="V14" s="58">
        <v>49.66</v>
      </c>
      <c r="W14" s="42" t="s">
        <v>45</v>
      </c>
      <c r="X14" s="36">
        <f>F14*N14/100</f>
        <v>0</v>
      </c>
      <c r="Y14" s="36">
        <f t="shared" ref="Y14:Z17" si="0">E14*N14/100</f>
        <v>0</v>
      </c>
      <c r="Z14" s="36">
        <f t="shared" si="0"/>
        <v>0</v>
      </c>
      <c r="AA14" s="36">
        <f>E14*O14/100</f>
        <v>0</v>
      </c>
      <c r="AB14">
        <f>X14/F14*100</f>
        <v>0</v>
      </c>
      <c r="AC14">
        <f t="shared" ref="AC14:AD17" si="1">Y14/E14*100</f>
        <v>0</v>
      </c>
      <c r="AD14" s="37">
        <f t="shared" si="1"/>
        <v>0</v>
      </c>
      <c r="AE14" s="37">
        <f>AA14/E14*100</f>
        <v>0</v>
      </c>
    </row>
    <row r="15" spans="2:31" ht="40.15" customHeight="1">
      <c r="B15" s="97"/>
      <c r="C15" s="246"/>
      <c r="D15" s="98"/>
      <c r="E15" s="113"/>
      <c r="F15" s="128"/>
      <c r="G15" s="128"/>
      <c r="H15" s="99"/>
      <c r="I15" s="99"/>
      <c r="J15" s="99"/>
      <c r="K15" s="99"/>
      <c r="L15" s="100"/>
      <c r="M15" s="99"/>
      <c r="N15" s="100"/>
      <c r="O15" s="99"/>
      <c r="P15" s="237"/>
      <c r="Q15" s="99"/>
      <c r="R15" s="192">
        <f>5%*F15</f>
        <v>0</v>
      </c>
      <c r="S15" s="192"/>
      <c r="T15" s="192"/>
      <c r="U15" s="307"/>
      <c r="V15" s="110">
        <f>S15-G15</f>
        <v>0</v>
      </c>
      <c r="W15" s="111" t="e">
        <f>#REF!+#REF!</f>
        <v>#REF!</v>
      </c>
      <c r="X15" s="36">
        <f>0.25*K15</f>
        <v>0</v>
      </c>
      <c r="Y15" s="36">
        <f t="shared" si="0"/>
        <v>0</v>
      </c>
      <c r="Z15" s="36">
        <f t="shared" si="0"/>
        <v>0</v>
      </c>
      <c r="AA15" s="36">
        <f>E15*O15/100</f>
        <v>0</v>
      </c>
      <c r="AB15" t="e">
        <f>X15/F15*100</f>
        <v>#DIV/0!</v>
      </c>
      <c r="AC15" t="e">
        <f t="shared" si="1"/>
        <v>#DIV/0!</v>
      </c>
      <c r="AD15" s="37" t="e">
        <f t="shared" si="1"/>
        <v>#DIV/0!</v>
      </c>
      <c r="AE15" s="37" t="e">
        <f>AA15/E15*100</f>
        <v>#DIV/0!</v>
      </c>
    </row>
    <row r="16" spans="2:31" ht="40.15" customHeight="1">
      <c r="B16" s="97"/>
      <c r="C16" s="246"/>
      <c r="D16" s="98"/>
      <c r="E16" s="129"/>
      <c r="F16" s="128"/>
      <c r="G16" s="128"/>
      <c r="H16" s="100"/>
      <c r="I16" s="100"/>
      <c r="J16" s="100"/>
      <c r="K16" s="99"/>
      <c r="L16" s="100"/>
      <c r="M16" s="100"/>
      <c r="N16" s="100"/>
      <c r="O16" s="102"/>
      <c r="P16" s="102"/>
      <c r="Q16" s="99"/>
      <c r="R16" s="192"/>
      <c r="S16" s="192"/>
      <c r="T16" s="192"/>
      <c r="U16" s="307"/>
      <c r="V16" s="59">
        <v>11.285</v>
      </c>
      <c r="W16" s="44">
        <f>R16-T16</f>
        <v>0</v>
      </c>
      <c r="X16" s="36">
        <f>F16*N16/100</f>
        <v>0</v>
      </c>
      <c r="Y16" s="36">
        <f t="shared" si="0"/>
        <v>0</v>
      </c>
      <c r="Z16" s="36">
        <f t="shared" si="0"/>
        <v>0</v>
      </c>
      <c r="AA16" s="36">
        <f>E16*O16/100</f>
        <v>0</v>
      </c>
      <c r="AB16" t="e">
        <f>X16/F16*100</f>
        <v>#DIV/0!</v>
      </c>
      <c r="AC16" t="e">
        <f t="shared" si="1"/>
        <v>#DIV/0!</v>
      </c>
      <c r="AD16" s="37" t="e">
        <f t="shared" si="1"/>
        <v>#DIV/0!</v>
      </c>
      <c r="AE16" s="37" t="e">
        <f>AA16/E16*100</f>
        <v>#DIV/0!</v>
      </c>
    </row>
    <row r="17" spans="2:31" ht="40.15" customHeight="1">
      <c r="B17" s="97">
        <v>2</v>
      </c>
      <c r="C17" s="246" t="str">
        <f>'Paket PRIM 2019'!C18</f>
        <v>P 7</v>
      </c>
      <c r="D17" s="112" t="s">
        <v>11</v>
      </c>
      <c r="E17" s="113">
        <v>58801980000</v>
      </c>
      <c r="F17" s="284">
        <f>'Paket PRIM 2019'!I20</f>
        <v>18072000000</v>
      </c>
      <c r="G17" s="279">
        <f>'Paket PRIM 2019'!I18*0.2</f>
        <v>3523254200</v>
      </c>
      <c r="H17" s="96">
        <v>1585425</v>
      </c>
      <c r="I17" s="96">
        <v>98430900</v>
      </c>
      <c r="J17" s="100">
        <v>2019693675</v>
      </c>
      <c r="K17" s="100">
        <v>4573255200</v>
      </c>
      <c r="L17" s="99">
        <v>3001939875</v>
      </c>
      <c r="M17" s="99">
        <v>2983370925</v>
      </c>
      <c r="N17" s="101"/>
      <c r="O17" s="234"/>
      <c r="P17" s="192"/>
      <c r="Q17" s="99">
        <f t="shared" ref="Q17" si="2">SUM(H17:P17)</f>
        <v>12678276000</v>
      </c>
      <c r="R17" s="95">
        <f>5%*F17</f>
        <v>903600000</v>
      </c>
      <c r="S17" s="192">
        <f t="shared" ref="S17" si="3">SUM(H17:P17)+G17</f>
        <v>16201530200</v>
      </c>
      <c r="T17" s="192">
        <f>F17-S17</f>
        <v>1870469800</v>
      </c>
      <c r="U17" s="449">
        <f>S17/F17*100</f>
        <v>89.649901505090739</v>
      </c>
      <c r="V17" s="59">
        <v>23.547000000000001</v>
      </c>
      <c r="W17" s="44"/>
      <c r="X17" s="36">
        <v>1188239100</v>
      </c>
      <c r="Y17" s="36">
        <f t="shared" si="0"/>
        <v>0</v>
      </c>
      <c r="Z17" s="36">
        <f t="shared" si="0"/>
        <v>0</v>
      </c>
      <c r="AA17" s="36">
        <f>E17*O17/100</f>
        <v>0</v>
      </c>
      <c r="AB17">
        <f>X17/F17*100</f>
        <v>6.5750282204515269</v>
      </c>
      <c r="AC17">
        <f t="shared" si="1"/>
        <v>0</v>
      </c>
      <c r="AD17" s="37">
        <f t="shared" si="1"/>
        <v>0</v>
      </c>
      <c r="AE17" s="37">
        <f>AA17/E17*100</f>
        <v>0</v>
      </c>
    </row>
    <row r="18" spans="2:31" ht="40.15" customHeight="1">
      <c r="B18" s="97"/>
      <c r="C18" s="246"/>
      <c r="D18" s="112"/>
      <c r="E18" s="113"/>
      <c r="F18" s="284"/>
      <c r="G18" s="284"/>
      <c r="H18" s="96"/>
      <c r="I18" s="96"/>
      <c r="J18" s="100"/>
      <c r="K18" s="100"/>
      <c r="L18" s="99"/>
      <c r="M18" s="99"/>
      <c r="N18" s="101"/>
      <c r="O18" s="234"/>
      <c r="P18" s="192"/>
      <c r="Q18" s="99"/>
      <c r="R18" s="95"/>
      <c r="S18" s="192"/>
      <c r="T18" s="192"/>
      <c r="U18" s="307"/>
      <c r="V18" s="59"/>
      <c r="W18" s="44"/>
      <c r="X18" s="36"/>
      <c r="Y18" s="36"/>
      <c r="Z18" s="36"/>
      <c r="AA18" s="36"/>
      <c r="AD18" s="37"/>
      <c r="AE18" s="37"/>
    </row>
    <row r="19" spans="2:31" ht="40.15" customHeight="1">
      <c r="B19" s="97"/>
      <c r="C19" s="246"/>
      <c r="D19" s="112"/>
      <c r="E19" s="113"/>
      <c r="F19" s="284"/>
      <c r="G19" s="284"/>
      <c r="H19" s="96"/>
      <c r="I19" s="96"/>
      <c r="J19" s="100"/>
      <c r="K19" s="100"/>
      <c r="L19" s="99"/>
      <c r="M19" s="99"/>
      <c r="N19" s="101"/>
      <c r="O19" s="234"/>
      <c r="P19" s="192"/>
      <c r="Q19" s="99"/>
      <c r="R19" s="95"/>
      <c r="S19" s="192"/>
      <c r="T19" s="192"/>
      <c r="U19" s="307"/>
      <c r="V19" s="59"/>
      <c r="W19" s="44"/>
      <c r="X19" s="36"/>
      <c r="Y19" s="36"/>
      <c r="Z19" s="36"/>
      <c r="AA19" s="36"/>
      <c r="AD19" s="37"/>
      <c r="AE19" s="37"/>
    </row>
    <row r="20" spans="2:31" ht="40.15" customHeight="1">
      <c r="B20" s="97">
        <v>3</v>
      </c>
      <c r="C20" s="246" t="str">
        <f>'Paket PRIM 2019'!C22</f>
        <v>P 8</v>
      </c>
      <c r="D20" s="112" t="s">
        <v>11</v>
      </c>
      <c r="E20" s="113">
        <v>58801980000</v>
      </c>
      <c r="F20" s="284">
        <f>'Paket PRIM 2019'!I24</f>
        <v>12057100000</v>
      </c>
      <c r="G20" s="279">
        <f>'Paket PRIM 2019'!I22*0.2</f>
        <v>2313999800</v>
      </c>
      <c r="H20" s="96">
        <v>0</v>
      </c>
      <c r="I20" s="96">
        <v>255995000</v>
      </c>
      <c r="J20" s="100">
        <v>1706838100</v>
      </c>
      <c r="K20" s="100">
        <f>2408886000-J20-I20</f>
        <v>446052900</v>
      </c>
      <c r="L20" s="99">
        <v>1472688600</v>
      </c>
      <c r="M20" s="99">
        <v>1860158300</v>
      </c>
      <c r="N20" s="101">
        <v>4001367300</v>
      </c>
      <c r="O20" s="234"/>
      <c r="P20" s="192"/>
      <c r="Q20" s="99">
        <f t="shared" ref="Q20" si="4">SUM(H20:P20)</f>
        <v>9743100200</v>
      </c>
      <c r="R20" s="95">
        <f>5%*F20</f>
        <v>602855000</v>
      </c>
      <c r="S20" s="192">
        <f t="shared" ref="S20" si="5">SUM(H20:P20)+G20</f>
        <v>12057100000</v>
      </c>
      <c r="T20" s="192">
        <f>F20-S20</f>
        <v>0</v>
      </c>
      <c r="U20" s="449">
        <f>S20/F20*100</f>
        <v>100</v>
      </c>
      <c r="V20" s="54">
        <f>T20+S20</f>
        <v>12057100000</v>
      </c>
      <c r="W20" s="140" t="e">
        <f>T20/#REF!*100</f>
        <v>#REF!</v>
      </c>
      <c r="X20" s="36">
        <f>0.95*V20</f>
        <v>11454245000</v>
      </c>
      <c r="Y20" s="36"/>
      <c r="Z20" s="36"/>
      <c r="AA20" s="36"/>
    </row>
    <row r="21" spans="2:31" ht="40.15" customHeight="1">
      <c r="B21" s="375"/>
      <c r="C21" s="376"/>
      <c r="D21" s="377"/>
      <c r="E21" s="378"/>
      <c r="F21" s="379"/>
      <c r="G21" s="379"/>
      <c r="H21" s="349"/>
      <c r="I21" s="349"/>
      <c r="J21" s="350"/>
      <c r="K21" s="350"/>
      <c r="L21" s="349"/>
      <c r="M21" s="349"/>
      <c r="N21" s="351"/>
      <c r="O21" s="352"/>
      <c r="P21" s="353"/>
      <c r="Q21" s="349"/>
      <c r="R21" s="354"/>
      <c r="S21" s="355"/>
      <c r="T21" s="355"/>
      <c r="U21" s="356"/>
      <c r="V21" s="54"/>
      <c r="W21" s="140"/>
      <c r="X21" s="36"/>
      <c r="Y21" s="36"/>
      <c r="Z21" s="36"/>
      <c r="AA21" s="36"/>
    </row>
    <row r="22" spans="2:31" ht="40.15" customHeight="1">
      <c r="B22" s="380"/>
      <c r="C22" s="381"/>
      <c r="D22" s="382"/>
      <c r="E22" s="383"/>
      <c r="F22" s="384"/>
      <c r="G22" s="384"/>
      <c r="H22" s="357"/>
      <c r="I22" s="357"/>
      <c r="J22" s="358"/>
      <c r="K22" s="358"/>
      <c r="L22" s="357"/>
      <c r="M22" s="357"/>
      <c r="N22" s="359"/>
      <c r="O22" s="360"/>
      <c r="P22" s="361"/>
      <c r="Q22" s="357"/>
      <c r="R22" s="362"/>
      <c r="S22" s="363"/>
      <c r="T22" s="363"/>
      <c r="U22" s="364"/>
      <c r="V22" s="54"/>
      <c r="W22" s="140"/>
      <c r="X22" s="36"/>
      <c r="Y22" s="36"/>
      <c r="Z22" s="36"/>
      <c r="AA22" s="36"/>
    </row>
    <row r="23" spans="2:31" ht="40.15" customHeight="1">
      <c r="B23" s="380">
        <v>3</v>
      </c>
      <c r="C23" s="381" t="str">
        <f>'Paket PRIM 2019'!C26</f>
        <v>P9</v>
      </c>
      <c r="D23" s="382" t="s">
        <v>11</v>
      </c>
      <c r="E23" s="383">
        <v>58801980000</v>
      </c>
      <c r="F23" s="384">
        <f>'Paket PRIM 2019'!I28</f>
        <v>9419900000</v>
      </c>
      <c r="G23" s="279">
        <f>'Paket PRIM 2019'!I26*0.3</f>
        <v>2690116500</v>
      </c>
      <c r="H23" s="365">
        <v>0</v>
      </c>
      <c r="I23" s="365"/>
      <c r="J23" s="358"/>
      <c r="K23" s="358">
        <v>890984000</v>
      </c>
      <c r="L23" s="357">
        <v>2276620000</v>
      </c>
      <c r="M23" s="357">
        <v>2373651000</v>
      </c>
      <c r="N23" s="366">
        <v>1188528500</v>
      </c>
      <c r="O23" s="367"/>
      <c r="P23" s="363"/>
      <c r="Q23" s="357">
        <f t="shared" ref="Q23" si="6">SUM(H23:P23)</f>
        <v>6729783500</v>
      </c>
      <c r="R23" s="368">
        <f>5%*F23</f>
        <v>470995000</v>
      </c>
      <c r="S23" s="363">
        <f t="shared" ref="S23" si="7">SUM(H23:P23)+G23</f>
        <v>9419900000</v>
      </c>
      <c r="T23" s="363">
        <f>F23-S23</f>
        <v>0</v>
      </c>
      <c r="U23" s="449">
        <f>S23/F23*100</f>
        <v>100</v>
      </c>
      <c r="V23" s="54">
        <f>T23+S23</f>
        <v>9419900000</v>
      </c>
      <c r="W23" s="140" t="e">
        <f>T23/#REF!*100</f>
        <v>#REF!</v>
      </c>
      <c r="X23" s="36">
        <f>0.95*V23</f>
        <v>8948905000</v>
      </c>
      <c r="Y23" s="36"/>
      <c r="Z23" s="36"/>
      <c r="AA23" s="36"/>
    </row>
    <row r="24" spans="2:31" ht="40.15" customHeight="1">
      <c r="B24" s="380"/>
      <c r="C24" s="381"/>
      <c r="D24" s="382"/>
      <c r="E24" s="383"/>
      <c r="F24" s="384"/>
      <c r="G24" s="384"/>
      <c r="H24" s="357"/>
      <c r="I24" s="357"/>
      <c r="J24" s="358"/>
      <c r="K24" s="358"/>
      <c r="L24" s="357"/>
      <c r="M24" s="357"/>
      <c r="N24" s="359"/>
      <c r="O24" s="360"/>
      <c r="P24" s="361"/>
      <c r="Q24" s="357"/>
      <c r="R24" s="362"/>
      <c r="S24" s="363"/>
      <c r="T24" s="363"/>
      <c r="U24" s="364"/>
      <c r="V24" s="54"/>
      <c r="W24" s="140"/>
      <c r="X24" s="36"/>
      <c r="Y24" s="36"/>
      <c r="Z24" s="36"/>
      <c r="AA24" s="36"/>
    </row>
    <row r="25" spans="2:31" ht="40.15" customHeight="1">
      <c r="B25" s="380"/>
      <c r="C25" s="381"/>
      <c r="D25" s="382"/>
      <c r="E25" s="383"/>
      <c r="F25" s="384"/>
      <c r="G25" s="384"/>
      <c r="H25" s="357"/>
      <c r="I25" s="357"/>
      <c r="J25" s="358"/>
      <c r="K25" s="358"/>
      <c r="L25" s="357"/>
      <c r="M25" s="357"/>
      <c r="N25" s="359"/>
      <c r="O25" s="360"/>
      <c r="P25" s="361"/>
      <c r="Q25" s="357"/>
      <c r="R25" s="362"/>
      <c r="S25" s="363"/>
      <c r="T25" s="363"/>
      <c r="U25" s="364"/>
      <c r="V25" s="54"/>
      <c r="W25" s="140"/>
      <c r="X25" s="36"/>
      <c r="Y25" s="36"/>
      <c r="Z25" s="36"/>
      <c r="AA25" s="36"/>
    </row>
    <row r="26" spans="2:31" ht="40.15" customHeight="1">
      <c r="B26" s="380">
        <v>3</v>
      </c>
      <c r="C26" s="381" t="str">
        <f>'Paket PRIM 2019'!C30</f>
        <v>P 10</v>
      </c>
      <c r="D26" s="382" t="s">
        <v>11</v>
      </c>
      <c r="E26" s="383">
        <v>58801980000</v>
      </c>
      <c r="F26" s="384">
        <f>'Paket PRIM 2019'!I32</f>
        <v>19368000000</v>
      </c>
      <c r="G26" s="279">
        <f>'Paket PRIM 2019'!I30*0.2</f>
        <v>3790318800</v>
      </c>
      <c r="H26" s="365">
        <v>0</v>
      </c>
      <c r="I26" s="365">
        <v>26005000</v>
      </c>
      <c r="J26" s="358">
        <v>1483653000</v>
      </c>
      <c r="K26" s="358">
        <v>2720457000</v>
      </c>
      <c r="L26" s="357">
        <v>5662155750</v>
      </c>
      <c r="M26" s="357">
        <v>4531085000</v>
      </c>
      <c r="N26" s="366"/>
      <c r="O26" s="367"/>
      <c r="P26" s="363"/>
      <c r="Q26" s="357">
        <f t="shared" ref="Q26" si="8">SUM(H26:P26)</f>
        <v>14423355750</v>
      </c>
      <c r="R26" s="368">
        <f>5%*F26</f>
        <v>968400000</v>
      </c>
      <c r="S26" s="363">
        <f t="shared" ref="S26" si="9">SUM(H26:P26)+G26</f>
        <v>18213674550</v>
      </c>
      <c r="T26" s="363">
        <f>F26-S26</f>
        <v>1154325450</v>
      </c>
      <c r="U26" s="449">
        <f>S26/F26*100</f>
        <v>94.040037949194542</v>
      </c>
      <c r="V26" s="54">
        <f>T26+S26</f>
        <v>19368000000</v>
      </c>
      <c r="W26" s="140" t="e">
        <f>T26/#REF!*100</f>
        <v>#REF!</v>
      </c>
      <c r="X26" s="36">
        <f>0.95*V26</f>
        <v>18399600000</v>
      </c>
      <c r="Y26" s="36"/>
      <c r="Z26" s="36"/>
      <c r="AA26" s="36"/>
    </row>
    <row r="27" spans="2:31" ht="40.15" customHeight="1">
      <c r="B27" s="380"/>
      <c r="C27" s="381"/>
      <c r="D27" s="382"/>
      <c r="E27" s="383"/>
      <c r="F27" s="384"/>
      <c r="G27" s="384"/>
      <c r="H27" s="357"/>
      <c r="I27" s="357"/>
      <c r="J27" s="358"/>
      <c r="K27" s="358"/>
      <c r="L27" s="357"/>
      <c r="M27" s="357"/>
      <c r="N27" s="359"/>
      <c r="O27" s="360"/>
      <c r="P27" s="361"/>
      <c r="Q27" s="357"/>
      <c r="R27" s="362"/>
      <c r="S27" s="363"/>
      <c r="T27" s="363"/>
      <c r="U27" s="364"/>
      <c r="V27" s="54"/>
      <c r="W27" s="140"/>
      <c r="X27" s="36"/>
      <c r="Y27" s="36"/>
      <c r="Z27" s="36"/>
      <c r="AA27" s="36"/>
    </row>
    <row r="28" spans="2:31" ht="24" customHeight="1">
      <c r="B28" s="385"/>
      <c r="C28" s="386"/>
      <c r="D28" s="387"/>
      <c r="E28" s="388"/>
      <c r="F28" s="389"/>
      <c r="G28" s="390"/>
      <c r="H28" s="369"/>
      <c r="I28" s="369"/>
      <c r="J28" s="370"/>
      <c r="K28" s="370"/>
      <c r="L28" s="371"/>
      <c r="M28" s="372"/>
      <c r="N28" s="372"/>
      <c r="O28" s="372"/>
      <c r="P28" s="372"/>
      <c r="Q28" s="372"/>
      <c r="R28" s="372"/>
      <c r="S28" s="373"/>
      <c r="T28" s="373"/>
      <c r="U28" s="374"/>
      <c r="V28" s="57"/>
      <c r="W28" s="46"/>
      <c r="X28" s="35">
        <f>F28*N28/100</f>
        <v>0</v>
      </c>
    </row>
    <row r="29" spans="2:31" ht="40.15" customHeight="1">
      <c r="B29" s="162"/>
      <c r="C29" s="163" t="s">
        <v>13</v>
      </c>
      <c r="D29" s="163" t="s">
        <v>12</v>
      </c>
      <c r="E29" s="164" t="e">
        <f>SUM(#REF!)</f>
        <v>#REF!</v>
      </c>
      <c r="F29" s="183">
        <f t="shared" ref="F29:P29" si="10">SUM(F14:F28)</f>
        <v>69124000000</v>
      </c>
      <c r="G29" s="183">
        <f t="shared" si="10"/>
        <v>14306607700</v>
      </c>
      <c r="H29" s="183">
        <f t="shared" si="10"/>
        <v>1585425</v>
      </c>
      <c r="I29" s="183">
        <f t="shared" si="10"/>
        <v>380430900</v>
      </c>
      <c r="J29" s="183">
        <f t="shared" si="10"/>
        <v>5210184775</v>
      </c>
      <c r="K29" s="183">
        <f t="shared" si="10"/>
        <v>11641240850</v>
      </c>
      <c r="L29" s="183">
        <f t="shared" si="10"/>
        <v>13712602975</v>
      </c>
      <c r="M29" s="183">
        <f t="shared" si="10"/>
        <v>14270352475</v>
      </c>
      <c r="N29" s="183">
        <f t="shared" si="10"/>
        <v>5189895800</v>
      </c>
      <c r="O29" s="183">
        <f t="shared" si="10"/>
        <v>0</v>
      </c>
      <c r="P29" s="183">
        <f t="shared" si="10"/>
        <v>0</v>
      </c>
      <c r="Q29" s="183"/>
      <c r="R29" s="183">
        <f>SUM(R14:R28)</f>
        <v>3456200000</v>
      </c>
      <c r="S29" s="183">
        <f>SUM(S14:S28)</f>
        <v>64712900900</v>
      </c>
      <c r="T29" s="183">
        <f>SUM(T14:T28)</f>
        <v>4411099100</v>
      </c>
      <c r="U29" s="450">
        <f>S29/F29*100</f>
        <v>93.618570829234415</v>
      </c>
      <c r="V29" s="56"/>
      <c r="W29" s="290" t="e">
        <f>#REF!+#REF!+#REF!</f>
        <v>#REF!</v>
      </c>
      <c r="X29" s="35">
        <f>F29*N29/100</f>
        <v>3.587463572792E+18</v>
      </c>
    </row>
    <row r="30" spans="2:31" ht="30" customHeight="1">
      <c r="B30" s="103" t="s">
        <v>15</v>
      </c>
      <c r="C30" s="594" t="s">
        <v>29</v>
      </c>
      <c r="D30" s="595"/>
      <c r="E30" s="595"/>
      <c r="F30" s="595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5"/>
      <c r="T30" s="105"/>
      <c r="U30" s="217"/>
      <c r="V30" s="56"/>
      <c r="W30" s="290"/>
      <c r="X30" s="35"/>
    </row>
    <row r="31" spans="2:31" ht="28.15" customHeight="1">
      <c r="B31" s="597" t="s">
        <v>20</v>
      </c>
      <c r="C31" s="599" t="s">
        <v>94</v>
      </c>
      <c r="D31" s="193"/>
      <c r="E31" s="193"/>
      <c r="F31" s="601" t="s">
        <v>63</v>
      </c>
      <c r="G31" s="603" t="s">
        <v>53</v>
      </c>
      <c r="H31" s="604"/>
      <c r="I31" s="604"/>
      <c r="J31" s="604"/>
      <c r="K31" s="604"/>
      <c r="L31" s="604"/>
      <c r="M31" s="604"/>
      <c r="N31" s="604"/>
      <c r="O31" s="604"/>
      <c r="P31" s="604"/>
      <c r="Q31" s="296"/>
      <c r="R31" s="605" t="s">
        <v>18</v>
      </c>
      <c r="S31" s="605" t="s">
        <v>74</v>
      </c>
      <c r="T31" s="601" t="s">
        <v>64</v>
      </c>
      <c r="U31" s="607" t="s">
        <v>77</v>
      </c>
      <c r="V31" s="56"/>
      <c r="W31" s="290"/>
      <c r="X31" s="35"/>
    </row>
    <row r="32" spans="2:31" ht="27.6" customHeight="1">
      <c r="B32" s="598"/>
      <c r="C32" s="600"/>
      <c r="D32" s="293"/>
      <c r="E32" s="293"/>
      <c r="F32" s="602"/>
      <c r="G32" s="194" t="s">
        <v>54</v>
      </c>
      <c r="H32" s="194" t="s">
        <v>55</v>
      </c>
      <c r="I32" s="194" t="s">
        <v>56</v>
      </c>
      <c r="J32" s="194" t="s">
        <v>57</v>
      </c>
      <c r="K32" s="194" t="s">
        <v>73</v>
      </c>
      <c r="L32" s="194" t="s">
        <v>58</v>
      </c>
      <c r="M32" s="194" t="s">
        <v>59</v>
      </c>
      <c r="N32" s="194" t="s">
        <v>60</v>
      </c>
      <c r="O32" s="194" t="s">
        <v>61</v>
      </c>
      <c r="P32" s="194" t="s">
        <v>62</v>
      </c>
      <c r="Q32" s="194" t="s">
        <v>90</v>
      </c>
      <c r="R32" s="606"/>
      <c r="S32" s="606"/>
      <c r="T32" s="602"/>
      <c r="U32" s="608"/>
      <c r="V32" s="56"/>
      <c r="W32" s="290"/>
      <c r="X32" s="35"/>
    </row>
    <row r="33" spans="2:24" ht="40.15" customHeight="1">
      <c r="B33" s="348">
        <v>1</v>
      </c>
      <c r="C33" s="166" t="s">
        <v>123</v>
      </c>
      <c r="D33" s="167" t="s">
        <v>30</v>
      </c>
      <c r="E33" s="168">
        <v>2703854507</v>
      </c>
      <c r="F33" s="400">
        <v>1546450600</v>
      </c>
      <c r="G33" s="169"/>
      <c r="H33" s="282"/>
      <c r="I33" s="409">
        <v>66834907.359999999</v>
      </c>
      <c r="J33" s="283">
        <v>0</v>
      </c>
      <c r="K33" s="463">
        <f>16686700+55939600+12454900+17602500+14112800+31362900</f>
        <v>148159400</v>
      </c>
      <c r="L33" s="168"/>
      <c r="M33" s="168"/>
      <c r="N33" s="168"/>
      <c r="O33" s="168"/>
      <c r="P33" s="168"/>
      <c r="Q33" s="274"/>
      <c r="R33" s="272">
        <f>F33</f>
        <v>1546450600</v>
      </c>
      <c r="S33" s="171">
        <f>SUM(G33:P33)</f>
        <v>214994307.36000001</v>
      </c>
      <c r="T33" s="301">
        <f>R33-S33</f>
        <v>1331456292.6399999</v>
      </c>
      <c r="U33" s="218">
        <f>S33/R33*100</f>
        <v>13.902436156706202</v>
      </c>
      <c r="V33" s="56">
        <f>R33-31422.69</f>
        <v>1546419177.3099999</v>
      </c>
      <c r="W33" s="290"/>
      <c r="X33" s="35"/>
    </row>
    <row r="34" spans="2:24" ht="40.15" customHeight="1">
      <c r="B34" s="165"/>
      <c r="C34" s="166"/>
      <c r="D34" s="167"/>
      <c r="E34" s="168"/>
      <c r="F34" s="401"/>
      <c r="G34" s="101"/>
      <c r="H34" s="101"/>
      <c r="I34" s="101"/>
      <c r="J34" s="168"/>
      <c r="K34" s="169"/>
      <c r="L34" s="170"/>
      <c r="M34" s="168"/>
      <c r="N34" s="168"/>
      <c r="O34" s="182"/>
      <c r="P34" s="168"/>
      <c r="Q34" s="168"/>
      <c r="R34" s="273"/>
      <c r="S34" s="171"/>
      <c r="T34" s="171"/>
      <c r="U34" s="218"/>
      <c r="V34" s="56">
        <f>V33-S33</f>
        <v>1331424869.9499998</v>
      </c>
      <c r="W34" s="290"/>
      <c r="X34" s="35"/>
    </row>
    <row r="35" spans="2:24" ht="40.15" customHeight="1">
      <c r="B35" s="348">
        <v>2</v>
      </c>
      <c r="C35" s="347" t="s">
        <v>124</v>
      </c>
      <c r="D35" s="167"/>
      <c r="E35" s="168"/>
      <c r="F35" s="400">
        <f>2876000000-F33</f>
        <v>1329549400</v>
      </c>
      <c r="G35" s="168">
        <v>9394000</v>
      </c>
      <c r="H35" s="168"/>
      <c r="I35" s="168">
        <f>63932000+46926000+72560000+115112000</f>
        <v>298530000</v>
      </c>
      <c r="J35" s="168">
        <f>54428525+54041290+8882400</f>
        <v>117352215</v>
      </c>
      <c r="K35" s="462">
        <f>54706315+56015626+163364000+109169000</f>
        <v>383254941</v>
      </c>
      <c r="L35" s="168">
        <f>54428525+54041290</f>
        <v>108469815</v>
      </c>
      <c r="M35" s="510">
        <f>36747979+27912197.1+56015626+54706315+8882400</f>
        <v>184264517.09999999</v>
      </c>
      <c r="N35" s="168"/>
      <c r="O35" s="168"/>
      <c r="P35" s="168"/>
      <c r="Q35" s="168"/>
      <c r="R35" s="272">
        <f>F35</f>
        <v>1329549400</v>
      </c>
      <c r="S35" s="171">
        <f>SUM(G35:P35)</f>
        <v>1101265488.0999999</v>
      </c>
      <c r="T35" s="301">
        <f>R35-S35</f>
        <v>228283911.9000001</v>
      </c>
      <c r="U35" s="218">
        <f>S35/R35*100</f>
        <v>82.829978946250506</v>
      </c>
      <c r="V35" s="56"/>
      <c r="W35" s="334"/>
      <c r="X35" s="35"/>
    </row>
    <row r="36" spans="2:24" ht="34.9" customHeight="1">
      <c r="B36" s="116"/>
      <c r="C36" s="117" t="s">
        <v>70</v>
      </c>
      <c r="D36" s="118" t="s">
        <v>31</v>
      </c>
      <c r="E36" s="119">
        <f t="shared" ref="E36" si="11">SUM(E33:E34)</f>
        <v>2703854507</v>
      </c>
      <c r="F36" s="185">
        <f t="shared" ref="F36:K36" si="12">SUM(F33:F35)</f>
        <v>2876000000</v>
      </c>
      <c r="G36" s="185">
        <f t="shared" si="12"/>
        <v>9394000</v>
      </c>
      <c r="H36" s="185">
        <f t="shared" si="12"/>
        <v>0</v>
      </c>
      <c r="I36" s="511">
        <f t="shared" si="12"/>
        <v>365364907.36000001</v>
      </c>
      <c r="J36" s="511">
        <f t="shared" si="12"/>
        <v>117352215</v>
      </c>
      <c r="K36" s="511">
        <f t="shared" si="12"/>
        <v>531414341</v>
      </c>
      <c r="L36" s="511">
        <f t="shared" ref="L36:Q36" si="13">SUM(L33:L35)</f>
        <v>108469815</v>
      </c>
      <c r="M36" s="511">
        <f t="shared" si="13"/>
        <v>184264517.09999999</v>
      </c>
      <c r="N36" s="185">
        <f t="shared" si="13"/>
        <v>0</v>
      </c>
      <c r="O36" s="185">
        <f t="shared" si="13"/>
        <v>0</v>
      </c>
      <c r="P36" s="185">
        <f t="shared" si="13"/>
        <v>0</v>
      </c>
      <c r="Q36" s="185">
        <f t="shared" si="13"/>
        <v>0</v>
      </c>
      <c r="R36" s="185">
        <f>SUM(R33:R35)</f>
        <v>2876000000</v>
      </c>
      <c r="S36" s="185">
        <f>SUM(S33:S35)</f>
        <v>1316259795.46</v>
      </c>
      <c r="T36" s="213">
        <f>SUM(T33:T35)</f>
        <v>1559740204.54</v>
      </c>
      <c r="U36" s="219">
        <f>S36/R36*100</f>
        <v>45.767030440194716</v>
      </c>
      <c r="V36" s="56">
        <v>9092155.9000000954</v>
      </c>
      <c r="W36" s="290"/>
      <c r="X36" s="35"/>
    </row>
    <row r="37" spans="2:24" ht="37.15" customHeight="1" thickBot="1">
      <c r="B37" s="106"/>
      <c r="C37" s="120" t="s">
        <v>81</v>
      </c>
      <c r="D37" s="107" t="s">
        <v>32</v>
      </c>
      <c r="E37" s="108" t="e">
        <f>E29+#REF!+E36</f>
        <v>#REF!</v>
      </c>
      <c r="F37" s="190">
        <f t="shared" ref="F37:P37" si="14">F36+F29</f>
        <v>72000000000</v>
      </c>
      <c r="G37" s="190">
        <f t="shared" si="14"/>
        <v>14316001700</v>
      </c>
      <c r="H37" s="190">
        <f t="shared" si="14"/>
        <v>1585425</v>
      </c>
      <c r="I37" s="410">
        <f t="shared" si="14"/>
        <v>745795807.36000001</v>
      </c>
      <c r="J37" s="190">
        <f t="shared" si="14"/>
        <v>5327536990</v>
      </c>
      <c r="K37" s="190">
        <f t="shared" si="14"/>
        <v>12172655191</v>
      </c>
      <c r="L37" s="190">
        <f t="shared" si="14"/>
        <v>13821072790</v>
      </c>
      <c r="M37" s="190">
        <f t="shared" si="14"/>
        <v>14454616992.1</v>
      </c>
      <c r="N37" s="190">
        <f t="shared" si="14"/>
        <v>5189895800</v>
      </c>
      <c r="O37" s="190">
        <f t="shared" si="14"/>
        <v>0</v>
      </c>
      <c r="P37" s="190">
        <f t="shared" si="14"/>
        <v>0</v>
      </c>
      <c r="Q37" s="190"/>
      <c r="R37" s="190"/>
      <c r="S37" s="190">
        <f>S36+S29</f>
        <v>66029160695.459999</v>
      </c>
      <c r="T37" s="190">
        <f>T36+T29</f>
        <v>5970839304.54</v>
      </c>
      <c r="U37" s="220">
        <f>S37/F37*100</f>
        <v>91.707167632583335</v>
      </c>
      <c r="V37" s="55"/>
      <c r="W37" s="45"/>
      <c r="X37" s="35">
        <f>F37*N37/100</f>
        <v>3.7367249760000005E+18</v>
      </c>
    </row>
    <row r="38" spans="2:24" ht="11.25" customHeight="1">
      <c r="R38" s="571"/>
      <c r="S38" s="571"/>
      <c r="T38" s="143"/>
    </row>
    <row r="39" spans="2:24">
      <c r="C39" s="451"/>
      <c r="D39" s="452"/>
      <c r="E39" s="451"/>
      <c r="F39" s="438"/>
      <c r="G39" s="423"/>
      <c r="H39" s="423"/>
      <c r="I39" s="423"/>
      <c r="J39" s="423"/>
      <c r="K39" s="423"/>
      <c r="L39" s="423"/>
      <c r="M39" s="423"/>
      <c r="N39" s="423"/>
      <c r="O39" s="423"/>
      <c r="P39" s="423"/>
    </row>
    <row r="40" spans="2:24" ht="12.75" customHeight="1">
      <c r="C40" s="423"/>
      <c r="D40" s="453"/>
      <c r="E40" s="423"/>
      <c r="F40" s="454">
        <f>(72560000*13.31%)</f>
        <v>9657736</v>
      </c>
      <c r="G40" s="454">
        <f>(72560000*7.97%)</f>
        <v>5783031.9999999991</v>
      </c>
      <c r="H40" s="454">
        <f>(72560000*20.13%)</f>
        <v>14606327.999999998</v>
      </c>
      <c r="I40" s="454">
        <f>(72560000*20.45%)</f>
        <v>14838520</v>
      </c>
      <c r="J40" s="454">
        <f>(72560000*23.51%)</f>
        <v>17058856</v>
      </c>
      <c r="K40" s="454">
        <f>(72560000*6.78%)</f>
        <v>4919568</v>
      </c>
      <c r="L40" s="454">
        <f>(72560000*7.85%)</f>
        <v>5695960</v>
      </c>
      <c r="M40" s="455">
        <f t="shared" ref="M40:M45" si="15">SUM(F40:L40)</f>
        <v>72560000</v>
      </c>
      <c r="N40" s="456">
        <f>M40</f>
        <v>72560000</v>
      </c>
      <c r="O40" s="426"/>
      <c r="P40" s="427">
        <f>M40-I35</f>
        <v>-225970000</v>
      </c>
      <c r="Q40" s="426"/>
      <c r="R40" s="426"/>
      <c r="S40" s="426"/>
      <c r="T40" s="426"/>
    </row>
    <row r="41" spans="2:24">
      <c r="C41" s="423"/>
      <c r="D41" s="453"/>
      <c r="E41" s="423"/>
      <c r="F41" s="454">
        <f>(63932000*13.31%)</f>
        <v>8509349.1999999993</v>
      </c>
      <c r="G41" s="454">
        <f>(63932000*7.97%)</f>
        <v>5095380.3999999994</v>
      </c>
      <c r="H41" s="454">
        <f>(63932000*20.13%)</f>
        <v>12869511.599999998</v>
      </c>
      <c r="I41" s="454">
        <f>(63932000*20.45%)</f>
        <v>13074094</v>
      </c>
      <c r="J41" s="454">
        <f>(63932000*23.51%)</f>
        <v>15030413.200000001</v>
      </c>
      <c r="K41" s="454">
        <f>(63932000*6.78%)</f>
        <v>4334589.5999999996</v>
      </c>
      <c r="L41" s="454">
        <f>(63932000*7.85%)</f>
        <v>5018662</v>
      </c>
      <c r="M41" s="455">
        <f t="shared" si="15"/>
        <v>63932000</v>
      </c>
      <c r="N41" s="456">
        <f t="shared" ref="N41:N55" si="16">M41</f>
        <v>63932000</v>
      </c>
      <c r="O41" s="426"/>
      <c r="P41" s="434">
        <f>S35</f>
        <v>1101265488.0999999</v>
      </c>
      <c r="Q41" s="426"/>
      <c r="R41" s="426"/>
      <c r="S41" s="426"/>
      <c r="T41" s="426"/>
    </row>
    <row r="42" spans="2:24" ht="15">
      <c r="C42" s="423"/>
      <c r="D42" s="453"/>
      <c r="E42" s="423"/>
      <c r="F42" s="454">
        <f>(46926000*13.31%)</f>
        <v>6245850.5999999996</v>
      </c>
      <c r="G42" s="454">
        <f>(46926000*7.97%)</f>
        <v>3740002.1999999997</v>
      </c>
      <c r="H42" s="454">
        <f>(46926000*20.13%)</f>
        <v>9446203.7999999989</v>
      </c>
      <c r="I42" s="454">
        <f>(46926000*20.45%)</f>
        <v>9596367</v>
      </c>
      <c r="J42" s="454">
        <f>(46926000*23.51%)</f>
        <v>11032302.6</v>
      </c>
      <c r="K42" s="454">
        <f>(46926000*6.78%)</f>
        <v>3181582.8</v>
      </c>
      <c r="L42" s="454">
        <f>(46926000*7.85%)</f>
        <v>3683691</v>
      </c>
      <c r="M42" s="455">
        <f t="shared" si="15"/>
        <v>46925999.999999993</v>
      </c>
      <c r="N42" s="456">
        <f t="shared" si="16"/>
        <v>46925999.999999993</v>
      </c>
      <c r="O42" s="426"/>
      <c r="P42" s="427">
        <f>P41-N41</f>
        <v>1037333488.0999999</v>
      </c>
      <c r="Q42" s="426"/>
      <c r="R42" s="439">
        <f>163364000+109169000</f>
        <v>272533000</v>
      </c>
      <c r="S42" s="426"/>
      <c r="T42" s="426"/>
    </row>
    <row r="43" spans="2:24" ht="15">
      <c r="C43" s="423"/>
      <c r="D43" s="453"/>
      <c r="E43" s="423"/>
      <c r="F43" s="454">
        <f>(115112000*13.31%)</f>
        <v>15321407.199999999</v>
      </c>
      <c r="G43" s="454">
        <f>(115112000*7.97%)</f>
        <v>9174426.3999999985</v>
      </c>
      <c r="H43" s="454">
        <f>(115112000*20.13%)</f>
        <v>23172045.599999998</v>
      </c>
      <c r="I43" s="454">
        <f>(115112000*20.45%)</f>
        <v>23540404</v>
      </c>
      <c r="J43" s="454">
        <f>(115112000*23.51%)</f>
        <v>27062831.199999999</v>
      </c>
      <c r="K43" s="454">
        <f>(115112000*6.78%)</f>
        <v>7804593.5999999996</v>
      </c>
      <c r="L43" s="454">
        <f>(115112000*7.85%)</f>
        <v>9036292</v>
      </c>
      <c r="M43" s="455">
        <f t="shared" si="15"/>
        <v>115111999.99999999</v>
      </c>
      <c r="N43" s="456">
        <f t="shared" si="16"/>
        <v>115111999.99999999</v>
      </c>
      <c r="O43" s="426"/>
      <c r="P43" s="427"/>
      <c r="Q43" s="426"/>
      <c r="R43" s="440"/>
      <c r="S43" s="426"/>
      <c r="T43" s="426"/>
    </row>
    <row r="44" spans="2:24" ht="15">
      <c r="C44" s="423"/>
      <c r="D44" s="453"/>
      <c r="E44" s="423"/>
      <c r="F44" s="454">
        <f>(115112000*13.31%)</f>
        <v>15321407.199999999</v>
      </c>
      <c r="G44" s="454">
        <f>(115112000*7.97%)</f>
        <v>9174426.3999999985</v>
      </c>
      <c r="H44" s="454">
        <f>(115112000*20.13%)</f>
        <v>23172045.599999998</v>
      </c>
      <c r="I44" s="454">
        <f>(115112000*20.45%)</f>
        <v>23540404</v>
      </c>
      <c r="J44" s="454">
        <f>(115112000*23.51%)</f>
        <v>27062831.199999999</v>
      </c>
      <c r="K44" s="454">
        <f>(115112000*6.78%)</f>
        <v>7804593.5999999996</v>
      </c>
      <c r="L44" s="454">
        <f>(115112000*7.85%)</f>
        <v>9036292</v>
      </c>
      <c r="M44" s="455">
        <f t="shared" si="15"/>
        <v>115111999.99999999</v>
      </c>
      <c r="N44" s="456">
        <f t="shared" ref="N44:N45" si="17">M44</f>
        <v>115111999.99999999</v>
      </c>
      <c r="O44" s="426"/>
      <c r="P44" s="427"/>
      <c r="Q44" s="426"/>
      <c r="R44" s="440"/>
      <c r="S44" s="426"/>
      <c r="T44" s="426"/>
    </row>
    <row r="45" spans="2:24" ht="15">
      <c r="C45" s="423"/>
      <c r="D45" s="453"/>
      <c r="E45" s="423"/>
      <c r="F45" s="454">
        <f>(115112000*13.31%)</f>
        <v>15321407.199999999</v>
      </c>
      <c r="G45" s="454">
        <f>(115112000*7.97%)</f>
        <v>9174426.3999999985</v>
      </c>
      <c r="H45" s="454">
        <f>(115112000*20.13%)</f>
        <v>23172045.599999998</v>
      </c>
      <c r="I45" s="454">
        <f>(115112000*20.45%)</f>
        <v>23540404</v>
      </c>
      <c r="J45" s="454">
        <f>(115112000*23.51%)</f>
        <v>27062831.199999999</v>
      </c>
      <c r="K45" s="454">
        <f>(115112000*6.78%)</f>
        <v>7804593.5999999996</v>
      </c>
      <c r="L45" s="454">
        <f>(115112000*7.85%)</f>
        <v>9036292</v>
      </c>
      <c r="M45" s="455">
        <f t="shared" si="15"/>
        <v>115111999.99999999</v>
      </c>
      <c r="N45" s="456">
        <f t="shared" si="17"/>
        <v>115111999.99999999</v>
      </c>
      <c r="O45" s="426"/>
      <c r="P45" s="427"/>
      <c r="Q45" s="426"/>
      <c r="R45" s="440"/>
      <c r="S45" s="426"/>
      <c r="T45" s="426"/>
    </row>
    <row r="46" spans="2:24" ht="15">
      <c r="C46" s="423"/>
      <c r="D46" s="453"/>
      <c r="E46" s="423"/>
      <c r="F46" s="454"/>
      <c r="G46" s="454"/>
      <c r="H46" s="454"/>
      <c r="I46" s="454"/>
      <c r="J46" s="454"/>
      <c r="K46" s="454"/>
      <c r="L46" s="454"/>
      <c r="M46" s="455"/>
      <c r="N46" s="456"/>
      <c r="O46" s="426"/>
      <c r="P46" s="427"/>
      <c r="Q46" s="426"/>
      <c r="R46" s="440"/>
      <c r="S46" s="426"/>
      <c r="T46" s="426"/>
    </row>
    <row r="47" spans="2:24" ht="15">
      <c r="C47" s="423"/>
      <c r="D47" s="453"/>
      <c r="E47" s="423"/>
      <c r="F47" s="454"/>
      <c r="G47" s="454"/>
      <c r="H47" s="454"/>
      <c r="I47" s="454"/>
      <c r="J47" s="454"/>
      <c r="K47" s="454"/>
      <c r="L47" s="454"/>
      <c r="M47" s="455"/>
      <c r="N47" s="456"/>
      <c r="O47" s="426"/>
      <c r="P47" s="427"/>
      <c r="Q47" s="426"/>
      <c r="R47" s="440"/>
      <c r="S47" s="426"/>
      <c r="T47" s="426"/>
    </row>
    <row r="48" spans="2:24" ht="15">
      <c r="C48" s="423"/>
      <c r="D48" s="453"/>
      <c r="E48" s="423"/>
      <c r="F48" s="454"/>
      <c r="G48" s="454"/>
      <c r="H48" s="454"/>
      <c r="I48" s="454"/>
      <c r="J48" s="454"/>
      <c r="K48" s="454"/>
      <c r="L48" s="454"/>
      <c r="M48" s="455"/>
      <c r="N48" s="456"/>
      <c r="O48" s="426"/>
      <c r="P48" s="427"/>
      <c r="Q48" s="426"/>
      <c r="R48" s="440"/>
      <c r="S48" s="426"/>
      <c r="T48" s="426"/>
    </row>
    <row r="49" spans="3:20" ht="15">
      <c r="C49" s="423"/>
      <c r="D49" s="453"/>
      <c r="E49" s="423"/>
      <c r="F49" s="454"/>
      <c r="G49" s="454"/>
      <c r="H49" s="454"/>
      <c r="I49" s="454"/>
      <c r="J49" s="454"/>
      <c r="K49" s="454"/>
      <c r="L49" s="454"/>
      <c r="M49" s="455"/>
      <c r="N49" s="456"/>
      <c r="O49" s="426"/>
      <c r="P49" s="427"/>
      <c r="Q49" s="426"/>
      <c r="R49" s="440"/>
      <c r="S49" s="426"/>
      <c r="T49" s="426"/>
    </row>
    <row r="50" spans="3:20" ht="15">
      <c r="C50" s="423"/>
      <c r="D50" s="453"/>
      <c r="E50" s="423"/>
      <c r="F50" s="454"/>
      <c r="G50" s="454"/>
      <c r="H50" s="454"/>
      <c r="I50" s="454"/>
      <c r="J50" s="454"/>
      <c r="K50" s="454"/>
      <c r="L50" s="454"/>
      <c r="M50" s="455"/>
      <c r="N50" s="456"/>
      <c r="O50" s="426"/>
      <c r="P50" s="427"/>
      <c r="Q50" s="426"/>
      <c r="R50" s="440"/>
      <c r="S50" s="426"/>
      <c r="T50" s="426"/>
    </row>
    <row r="51" spans="3:20" ht="15">
      <c r="C51" s="423"/>
      <c r="D51" s="453"/>
      <c r="E51" s="423"/>
      <c r="F51" s="457">
        <v>13.31</v>
      </c>
      <c r="G51" s="457">
        <v>7.97</v>
      </c>
      <c r="H51" s="457">
        <v>20.13</v>
      </c>
      <c r="I51" s="457">
        <v>20.45</v>
      </c>
      <c r="J51" s="457">
        <v>23.51</v>
      </c>
      <c r="K51" s="457">
        <v>6.78</v>
      </c>
      <c r="L51" s="457">
        <v>7.85</v>
      </c>
      <c r="M51" s="458">
        <f>SUM(F51:L51)</f>
        <v>100</v>
      </c>
      <c r="N51" s="456">
        <f>M51</f>
        <v>100</v>
      </c>
      <c r="O51" s="441">
        <f>SUM(F51:L51)</f>
        <v>100</v>
      </c>
      <c r="P51" s="427">
        <f>SUM(F40:L40)</f>
        <v>72560000</v>
      </c>
      <c r="Q51" s="426"/>
      <c r="R51" s="440"/>
      <c r="S51" s="426"/>
      <c r="T51" s="426"/>
    </row>
    <row r="52" spans="3:20" ht="15">
      <c r="C52" s="423"/>
      <c r="D52" s="453"/>
      <c r="E52" s="423"/>
      <c r="F52" s="454"/>
      <c r="G52" s="454"/>
      <c r="H52" s="454"/>
      <c r="I52" s="454"/>
      <c r="J52" s="454"/>
      <c r="K52" s="454"/>
      <c r="L52" s="454"/>
      <c r="M52" s="455"/>
      <c r="N52" s="456"/>
      <c r="O52" s="426"/>
      <c r="P52" s="427"/>
      <c r="Q52" s="426"/>
      <c r="R52" s="440"/>
      <c r="S52" s="426"/>
      <c r="T52" s="426"/>
    </row>
    <row r="53" spans="3:20" ht="15">
      <c r="C53" s="423"/>
      <c r="D53" s="453"/>
      <c r="E53" s="423"/>
      <c r="F53" s="454">
        <f t="shared" ref="F53:F55" si="18">(72560000*13.31%)+(63932000*13.31%)+(46926000*13.31%)+(115112000*13.31%)</f>
        <v>39734343</v>
      </c>
      <c r="G53" s="454"/>
      <c r="H53" s="454">
        <f t="shared" ref="H53:H55" si="19">(72560000*20.13%)+(63932000*20.13%)+(46926000*20.13%)+(115112000*20.13%)</f>
        <v>60094088.999999985</v>
      </c>
      <c r="I53" s="454">
        <f t="shared" ref="I53:I55" si="20">(72560000*20.45%)+(63932000*20.45%)+(46926000*20.45%)+(115112000*20.45%)</f>
        <v>61049385</v>
      </c>
      <c r="J53" s="454">
        <f t="shared" ref="J53:J55" si="21">(72560000*23.51%)+(63932000*23.51%)+(46926000*23.51%)+(115112000*23.51%)</f>
        <v>70184403</v>
      </c>
      <c r="K53" s="454">
        <f t="shared" ref="K53:K55" si="22">(72560000*6.78%)+(63932000*6.78%)+(46926000*6.78%)+(115112000*6.78%)</f>
        <v>20240334</v>
      </c>
      <c r="L53" s="454">
        <f t="shared" ref="L53:L55" si="23">(72560000*7.85%)+(63932000*7.85%)+(46926000*7.85%)+(115112000*7.85%)</f>
        <v>23434605</v>
      </c>
      <c r="M53" s="455">
        <f>SUM(F53:L53)</f>
        <v>274737159</v>
      </c>
      <c r="N53" s="456">
        <f t="shared" si="16"/>
        <v>274737159</v>
      </c>
      <c r="O53" s="426"/>
      <c r="P53" s="427"/>
      <c r="Q53" s="426"/>
      <c r="R53" s="440"/>
      <c r="S53" s="426"/>
      <c r="T53" s="426"/>
    </row>
    <row r="54" spans="3:20" ht="15">
      <c r="C54" s="423"/>
      <c r="D54" s="453"/>
      <c r="E54" s="423"/>
      <c r="F54" s="454">
        <f t="shared" si="18"/>
        <v>39734343</v>
      </c>
      <c r="G54" s="454"/>
      <c r="H54" s="454">
        <f t="shared" si="19"/>
        <v>60094088.999999985</v>
      </c>
      <c r="I54" s="454">
        <f t="shared" si="20"/>
        <v>61049385</v>
      </c>
      <c r="J54" s="454">
        <f t="shared" si="21"/>
        <v>70184403</v>
      </c>
      <c r="K54" s="454">
        <f t="shared" si="22"/>
        <v>20240334</v>
      </c>
      <c r="L54" s="454">
        <f t="shared" si="23"/>
        <v>23434605</v>
      </c>
      <c r="M54" s="455">
        <f>SUM(F54:L54)</f>
        <v>274737159</v>
      </c>
      <c r="N54" s="456">
        <f t="shared" si="16"/>
        <v>274737159</v>
      </c>
      <c r="O54" s="441">
        <f>F51+H51+I51+J51+K51+L51</f>
        <v>92.03</v>
      </c>
      <c r="P54" s="427"/>
      <c r="Q54" s="426"/>
      <c r="R54" s="440"/>
      <c r="S54" s="426"/>
      <c r="T54" s="426"/>
    </row>
    <row r="55" spans="3:20" ht="15">
      <c r="C55" s="423"/>
      <c r="D55" s="453"/>
      <c r="E55" s="423"/>
      <c r="F55" s="454">
        <f t="shared" si="18"/>
        <v>39734343</v>
      </c>
      <c r="G55" s="454"/>
      <c r="H55" s="454">
        <f t="shared" si="19"/>
        <v>60094088.999999985</v>
      </c>
      <c r="I55" s="454">
        <f t="shared" si="20"/>
        <v>61049385</v>
      </c>
      <c r="J55" s="454">
        <f t="shared" si="21"/>
        <v>70184403</v>
      </c>
      <c r="K55" s="454">
        <f t="shared" si="22"/>
        <v>20240334</v>
      </c>
      <c r="L55" s="454">
        <f t="shared" si="23"/>
        <v>23434605</v>
      </c>
      <c r="M55" s="455">
        <f>SUM(F55:L55)</f>
        <v>274737159</v>
      </c>
      <c r="N55" s="456">
        <f t="shared" si="16"/>
        <v>274737159</v>
      </c>
      <c r="O55" s="426"/>
      <c r="P55" s="427"/>
      <c r="Q55" s="426"/>
      <c r="R55" s="440"/>
      <c r="S55" s="426"/>
      <c r="T55" s="426"/>
    </row>
    <row r="56" spans="3:20" ht="15">
      <c r="C56" s="423"/>
      <c r="D56" s="453"/>
      <c r="E56" s="423"/>
      <c r="F56" s="459"/>
      <c r="G56" s="459"/>
      <c r="H56" s="459"/>
      <c r="I56" s="459"/>
      <c r="J56" s="459"/>
      <c r="K56" s="459"/>
      <c r="L56" s="459"/>
      <c r="M56" s="460"/>
      <c r="N56" s="461"/>
      <c r="O56" s="426"/>
      <c r="P56" s="427"/>
      <c r="Q56" s="427">
        <f>SUM(N40:N43)</f>
        <v>298530000</v>
      </c>
      <c r="R56" s="440"/>
      <c r="S56" s="426"/>
      <c r="T56" s="426"/>
    </row>
    <row r="57" spans="3:20" ht="15">
      <c r="C57" s="423"/>
      <c r="D57" s="453"/>
      <c r="E57" s="423"/>
      <c r="F57" s="459">
        <f>SUM(F40:F56)</f>
        <v>189580199.71000001</v>
      </c>
      <c r="G57" s="459"/>
      <c r="H57" s="459">
        <f t="shared" ref="H57:N57" si="24">SUM(H40:H56)</f>
        <v>286720467.32999992</v>
      </c>
      <c r="I57" s="459">
        <f t="shared" si="24"/>
        <v>291278368.44999999</v>
      </c>
      <c r="J57" s="459">
        <f t="shared" si="24"/>
        <v>334863297.91000003</v>
      </c>
      <c r="K57" s="459">
        <f t="shared" si="24"/>
        <v>96570529.980000004</v>
      </c>
      <c r="L57" s="459">
        <f t="shared" si="24"/>
        <v>111811011.84999999</v>
      </c>
      <c r="M57" s="459">
        <f t="shared" si="24"/>
        <v>1352965577</v>
      </c>
      <c r="N57" s="459">
        <f t="shared" si="24"/>
        <v>1352965577</v>
      </c>
      <c r="O57" s="426"/>
      <c r="P57" s="427"/>
      <c r="Q57" s="426"/>
      <c r="R57" s="440"/>
      <c r="S57" s="426"/>
      <c r="T57" s="426"/>
    </row>
    <row r="58" spans="3:20" ht="15">
      <c r="C58" s="423"/>
      <c r="D58" s="453"/>
      <c r="E58" s="423"/>
      <c r="F58" s="459"/>
      <c r="G58" s="459"/>
      <c r="H58" s="459"/>
      <c r="I58" s="459"/>
      <c r="J58" s="459"/>
      <c r="K58" s="459"/>
      <c r="L58" s="460"/>
      <c r="M58" s="461"/>
      <c r="N58" s="423"/>
      <c r="O58" s="427"/>
      <c r="P58" s="426"/>
      <c r="Q58" s="440"/>
      <c r="R58" s="426"/>
      <c r="S58" s="426"/>
      <c r="T58" s="426"/>
    </row>
    <row r="59" spans="3:20" ht="15">
      <c r="C59" s="426"/>
      <c r="D59" s="425"/>
      <c r="E59" s="426"/>
      <c r="F59" s="435"/>
      <c r="G59" s="435"/>
      <c r="H59" s="435"/>
      <c r="I59" s="435"/>
      <c r="J59" s="435"/>
      <c r="K59" s="435"/>
      <c r="L59" s="436"/>
      <c r="M59" s="437"/>
      <c r="N59" s="426"/>
      <c r="O59" s="427"/>
      <c r="P59" s="426"/>
      <c r="Q59" s="440"/>
      <c r="R59" s="426"/>
      <c r="S59" s="426"/>
      <c r="T59" s="426"/>
    </row>
    <row r="60" spans="3:20" ht="15">
      <c r="C60" s="426"/>
      <c r="D60" s="425"/>
      <c r="E60" s="426"/>
      <c r="F60" s="435"/>
      <c r="G60" s="435"/>
      <c r="H60" s="435"/>
      <c r="I60" s="435"/>
      <c r="J60" s="435"/>
      <c r="K60" s="435"/>
      <c r="L60" s="436"/>
      <c r="M60" s="437"/>
      <c r="N60" s="426"/>
      <c r="O60" s="427"/>
      <c r="P60" s="426"/>
      <c r="Q60" s="440"/>
      <c r="R60" s="426"/>
      <c r="S60" s="426"/>
      <c r="T60" s="426"/>
    </row>
    <row r="61" spans="3:20" ht="15">
      <c r="C61" s="426"/>
      <c r="D61" s="425"/>
      <c r="E61" s="426"/>
      <c r="F61" s="435"/>
      <c r="G61" s="435"/>
      <c r="H61" s="435"/>
      <c r="I61" s="435"/>
      <c r="J61" s="435"/>
      <c r="K61" s="435">
        <f>SUM(G35:J35)</f>
        <v>425276215</v>
      </c>
      <c r="L61" s="436"/>
      <c r="M61" s="437"/>
      <c r="N61" s="426"/>
      <c r="O61" s="427"/>
      <c r="P61" s="426"/>
      <c r="Q61" s="440"/>
      <c r="R61" s="426"/>
      <c r="S61" s="426"/>
      <c r="T61" s="426"/>
    </row>
    <row r="62" spans="3:20" ht="15">
      <c r="F62" s="435"/>
      <c r="G62" s="435">
        <f>72560000/100*13.31</f>
        <v>9657736</v>
      </c>
      <c r="H62" s="435"/>
      <c r="I62" s="435"/>
      <c r="J62" s="435"/>
      <c r="K62" s="435"/>
      <c r="L62" s="436"/>
      <c r="M62" s="437"/>
      <c r="N62" s="426"/>
      <c r="O62" s="427"/>
      <c r="P62" s="426"/>
      <c r="Q62" s="440"/>
      <c r="R62" s="426"/>
      <c r="S62" s="426"/>
      <c r="T62" s="426"/>
    </row>
    <row r="63" spans="3:20" ht="15">
      <c r="F63" s="435"/>
      <c r="G63" s="433">
        <f>(72560000*7.97%)</f>
        <v>5783031.9999999991</v>
      </c>
      <c r="H63" s="435"/>
      <c r="I63" s="435"/>
      <c r="J63" s="435"/>
      <c r="K63" s="435"/>
      <c r="L63" s="436"/>
      <c r="M63" s="437"/>
      <c r="N63" s="426"/>
      <c r="O63" s="427"/>
      <c r="P63" s="426"/>
      <c r="Q63" s="440"/>
      <c r="R63" s="426"/>
      <c r="S63" s="426"/>
      <c r="T63" s="426"/>
    </row>
    <row r="64" spans="3:20" ht="15">
      <c r="F64" s="435"/>
      <c r="G64" s="433">
        <f>(72560000*20.13%)</f>
        <v>14606327.999999998</v>
      </c>
      <c r="H64" s="435"/>
      <c r="I64" s="435"/>
      <c r="J64" s="435"/>
      <c r="K64" s="435"/>
      <c r="L64" s="436"/>
      <c r="M64" s="437"/>
      <c r="N64" s="426"/>
      <c r="O64" s="427"/>
      <c r="P64" s="426"/>
      <c r="Q64" s="440"/>
      <c r="R64" s="426"/>
      <c r="S64" s="426"/>
      <c r="T64" s="426"/>
    </row>
    <row r="65" spans="6:20">
      <c r="F65" s="426"/>
      <c r="G65" s="433">
        <f>(72560000*20.45%)</f>
        <v>14838520</v>
      </c>
      <c r="H65" s="426"/>
      <c r="I65" s="426"/>
      <c r="J65" s="426"/>
      <c r="K65" s="426"/>
      <c r="L65" s="426"/>
      <c r="M65" s="426"/>
      <c r="N65" s="426"/>
      <c r="O65" s="427"/>
      <c r="P65" s="426"/>
      <c r="Q65" s="426"/>
      <c r="R65" s="426"/>
      <c r="S65" s="426"/>
      <c r="T65" s="426"/>
    </row>
    <row r="66" spans="6:20">
      <c r="F66" s="426"/>
      <c r="G66" s="433">
        <f>(72560000*23.51%)</f>
        <v>17058856</v>
      </c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</row>
    <row r="67" spans="6:20">
      <c r="F67" s="426"/>
      <c r="G67" s="433">
        <f>(72560000*6.78%)</f>
        <v>4919568</v>
      </c>
      <c r="H67" s="426"/>
      <c r="I67" s="426"/>
      <c r="J67" s="426"/>
      <c r="K67" s="426">
        <f>2113900+131241200</f>
        <v>133355100</v>
      </c>
      <c r="L67" s="434">
        <f>1585425+98430900+2019693675</f>
        <v>2119710000</v>
      </c>
      <c r="M67" s="426"/>
      <c r="N67" s="426"/>
      <c r="O67" s="426"/>
      <c r="P67" s="426"/>
      <c r="Q67" s="434">
        <f>I35+J35+K35</f>
        <v>799137156</v>
      </c>
      <c r="R67" s="426"/>
      <c r="S67" s="426"/>
      <c r="T67" s="426"/>
    </row>
    <row r="68" spans="6:20">
      <c r="F68" s="426"/>
      <c r="G68" s="433">
        <f>(72560000*7.85%)</f>
        <v>5695960</v>
      </c>
      <c r="H68" s="426"/>
      <c r="I68" s="426"/>
      <c r="J68" s="426"/>
      <c r="K68" s="426">
        <f>2692924900</f>
        <v>2692924900</v>
      </c>
      <c r="L68" s="426"/>
      <c r="M68" s="426"/>
      <c r="N68" s="426"/>
      <c r="O68" s="426"/>
      <c r="P68" s="426"/>
      <c r="Q68" s="427">
        <f>SUM(S33)</f>
        <v>214994307.36000001</v>
      </c>
      <c r="R68" s="426"/>
      <c r="S68" s="426"/>
      <c r="T68" s="426"/>
    </row>
    <row r="69" spans="6:20">
      <c r="F69" s="426"/>
      <c r="G69" s="442">
        <f>SUM(G62:G68)</f>
        <v>72560000</v>
      </c>
      <c r="H69" s="426"/>
      <c r="I69" s="426"/>
      <c r="J69" s="426"/>
      <c r="K69" s="434">
        <f>SUM(K67:K68)</f>
        <v>2826280000</v>
      </c>
      <c r="L69" s="426"/>
      <c r="M69" s="426"/>
      <c r="N69" s="426"/>
      <c r="O69" s="426"/>
      <c r="P69" s="426"/>
      <c r="Q69" s="442">
        <f>SUM(Q14:Q26)</f>
        <v>50406293200</v>
      </c>
      <c r="R69" s="426"/>
      <c r="S69" s="426"/>
      <c r="T69" s="426"/>
    </row>
    <row r="70" spans="6:20" ht="21" customHeight="1">
      <c r="F70" s="426"/>
      <c r="G70" s="426"/>
      <c r="H70" s="426">
        <v>227889350</v>
      </c>
      <c r="I70" s="434">
        <v>289907186.09976619</v>
      </c>
      <c r="J70" s="442">
        <f>J33+I33</f>
        <v>66834907.359999999</v>
      </c>
      <c r="K70" s="443">
        <v>1256200471</v>
      </c>
      <c r="L70" s="444">
        <f>177610000+166090000+150099000</f>
        <v>493799000</v>
      </c>
      <c r="M70" s="445">
        <v>3316411450</v>
      </c>
      <c r="N70" s="426"/>
      <c r="O70" s="426"/>
      <c r="P70" s="426">
        <v>5175543850</v>
      </c>
      <c r="Q70" s="427">
        <f>SUM(Q67:Q69)</f>
        <v>51420424663.360001</v>
      </c>
      <c r="R70" s="442">
        <f>P70-S33</f>
        <v>4960549542.6400003</v>
      </c>
      <c r="S70" s="446">
        <f>3747439000-S33</f>
        <v>3532444692.6399999</v>
      </c>
      <c r="T70" s="426"/>
    </row>
    <row r="71" spans="6:20">
      <c r="F71" s="426"/>
      <c r="G71" s="426"/>
      <c r="H71" s="426"/>
      <c r="I71" s="426"/>
      <c r="J71" s="426"/>
      <c r="K71" s="442" t="e">
        <f>K70-#REF!</f>
        <v>#REF!</v>
      </c>
      <c r="L71" s="444">
        <f>177610000+166090000+150099000+6305000+9830000+7673400+6594550</f>
        <v>524201950</v>
      </c>
      <c r="M71" s="443">
        <v>1298690100</v>
      </c>
      <c r="N71" s="426"/>
      <c r="O71" s="426"/>
      <c r="P71" s="443">
        <v>1120623150</v>
      </c>
      <c r="Q71" s="434">
        <v>632282059</v>
      </c>
      <c r="R71" s="426"/>
      <c r="S71" s="446">
        <f>S70-S34</f>
        <v>3532444692.6399999</v>
      </c>
      <c r="T71" s="426"/>
    </row>
    <row r="72" spans="6:20">
      <c r="F72" s="426"/>
      <c r="G72" s="426"/>
      <c r="H72" s="426"/>
      <c r="I72" s="426"/>
      <c r="J72" s="426">
        <v>116459471</v>
      </c>
      <c r="K72" s="426"/>
      <c r="L72" s="446">
        <f>8265000+6305000+6739250+4167100</f>
        <v>25476350</v>
      </c>
      <c r="M72" s="426"/>
      <c r="N72" s="426"/>
      <c r="O72" s="426"/>
      <c r="P72" s="426"/>
      <c r="Q72" s="427">
        <f>SUM(Q70:Q71)</f>
        <v>52052706722.360001</v>
      </c>
      <c r="R72" s="426"/>
      <c r="S72" s="446"/>
      <c r="T72" s="426"/>
    </row>
    <row r="73" spans="6:20">
      <c r="F73" s="426"/>
      <c r="G73" s="426"/>
      <c r="H73" s="426"/>
      <c r="I73" s="426"/>
      <c r="J73" s="426"/>
      <c r="K73" s="426"/>
      <c r="L73" s="446">
        <f>8970000+8190000+8645000</f>
        <v>25805000</v>
      </c>
      <c r="M73" s="426"/>
      <c r="N73" s="426"/>
      <c r="O73" s="426"/>
      <c r="P73" s="426">
        <v>378277400</v>
      </c>
      <c r="Q73" s="426"/>
      <c r="R73" s="426"/>
      <c r="S73" s="446">
        <v>1687214612</v>
      </c>
      <c r="T73" s="426"/>
    </row>
    <row r="74" spans="6:20">
      <c r="F74" s="426"/>
      <c r="G74" s="426"/>
      <c r="H74" s="426"/>
      <c r="I74" s="426"/>
      <c r="J74" s="444">
        <v>1164458375</v>
      </c>
      <c r="K74" s="444">
        <v>42747096</v>
      </c>
      <c r="L74" s="442">
        <f>SUM(L71:L73)</f>
        <v>575483300</v>
      </c>
      <c r="M74" s="426"/>
      <c r="N74" s="426"/>
      <c r="O74" s="426"/>
      <c r="P74" s="426">
        <v>47570550</v>
      </c>
      <c r="Q74" s="427">
        <f>0.4*72000000000</f>
        <v>28800000000</v>
      </c>
      <c r="R74" s="426"/>
      <c r="S74" s="442">
        <f>S73-S34</f>
        <v>1687214612</v>
      </c>
      <c r="T74" s="426"/>
    </row>
    <row r="75" spans="6:20"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>
        <f>SUM(P73:P74)</f>
        <v>425847950</v>
      </c>
      <c r="Q75" s="427">
        <v>3000000000</v>
      </c>
      <c r="R75" s="426"/>
      <c r="S75" s="426"/>
      <c r="T75" s="426"/>
    </row>
    <row r="76" spans="6:20">
      <c r="F76" s="426"/>
      <c r="G76" s="426"/>
      <c r="H76" s="426"/>
      <c r="I76" s="426"/>
      <c r="J76" s="442">
        <f>SUM(H17:J17)</f>
        <v>2119710000</v>
      </c>
      <c r="K76" s="426"/>
      <c r="L76" s="426"/>
      <c r="M76" s="426"/>
      <c r="N76" s="426"/>
      <c r="O76" s="426"/>
      <c r="P76" s="442" t="e">
        <f>#REF!-P75</f>
        <v>#REF!</v>
      </c>
      <c r="Q76" s="442">
        <f>SUM(Q74:Q75)</f>
        <v>31800000000</v>
      </c>
      <c r="R76" s="426"/>
      <c r="S76" s="426"/>
      <c r="T76" s="426"/>
    </row>
    <row r="77" spans="6:20"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46">
        <v>5188148275</v>
      </c>
      <c r="Q77" s="447">
        <f>Q72/Q76*100</f>
        <v>163.68775698855347</v>
      </c>
      <c r="R77" s="427" t="e">
        <f>P77/#REF!*100</f>
        <v>#REF!</v>
      </c>
      <c r="S77" s="426"/>
      <c r="T77" s="426"/>
    </row>
    <row r="78" spans="6:20">
      <c r="F78" s="426"/>
      <c r="G78" s="426"/>
      <c r="H78" s="426"/>
      <c r="I78" s="426">
        <v>1585425</v>
      </c>
      <c r="J78" s="426"/>
      <c r="K78" s="426"/>
      <c r="L78" s="426"/>
      <c r="M78" s="426"/>
      <c r="N78" s="426"/>
      <c r="O78" s="426"/>
      <c r="P78" s="442" t="e">
        <f>#REF!-P77</f>
        <v>#REF!</v>
      </c>
      <c r="Q78" s="442"/>
      <c r="R78" s="426"/>
      <c r="S78" s="434">
        <f>4481294325</f>
        <v>4481294325</v>
      </c>
      <c r="T78" s="426"/>
    </row>
    <row r="79" spans="6:20">
      <c r="F79" s="426"/>
      <c r="G79" s="426"/>
      <c r="H79" s="426"/>
      <c r="I79" s="426">
        <v>98430900</v>
      </c>
      <c r="J79" s="426"/>
      <c r="K79" s="426"/>
      <c r="L79" s="426"/>
      <c r="M79" s="426"/>
      <c r="N79" s="426"/>
      <c r="O79" s="426"/>
      <c r="P79" s="442" t="e">
        <f>P76-P78</f>
        <v>#REF!</v>
      </c>
      <c r="Q79" s="442"/>
      <c r="R79" s="426"/>
      <c r="S79" s="427" t="e">
        <f>#REF!-S78</f>
        <v>#REF!</v>
      </c>
      <c r="T79" s="426"/>
    </row>
    <row r="80" spans="6:20">
      <c r="F80" s="426"/>
      <c r="G80" s="426"/>
      <c r="H80" s="426"/>
      <c r="I80" s="426">
        <v>2019693675</v>
      </c>
      <c r="J80" s="426"/>
      <c r="K80" s="426"/>
      <c r="L80" s="426"/>
      <c r="M80" s="426"/>
      <c r="N80" s="426"/>
      <c r="O80" s="426"/>
      <c r="P80" s="442" t="e">
        <f>P79+P73+P74</f>
        <v>#REF!</v>
      </c>
      <c r="Q80" s="442">
        <f>Q74*0.15</f>
        <v>4320000000</v>
      </c>
      <c r="R80" s="426"/>
      <c r="S80" s="426"/>
      <c r="T80" s="426"/>
    </row>
    <row r="81" spans="6:20">
      <c r="F81" s="426"/>
      <c r="G81" s="426"/>
      <c r="H81" s="426"/>
      <c r="I81" s="426">
        <f>SUM(I78:I80)</f>
        <v>2119710000</v>
      </c>
      <c r="J81" s="426"/>
      <c r="K81" s="426"/>
      <c r="L81" s="426"/>
      <c r="M81" s="426"/>
      <c r="N81" s="426"/>
      <c r="O81" s="426"/>
      <c r="P81" s="426"/>
      <c r="Q81" s="426"/>
      <c r="R81" s="426"/>
      <c r="S81" s="426">
        <f>5140577725</f>
        <v>5140577725</v>
      </c>
      <c r="T81" s="426"/>
    </row>
    <row r="82" spans="6:20"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42" t="e">
        <f>S81-#REF!</f>
        <v>#REF!</v>
      </c>
      <c r="T82" s="426"/>
    </row>
    <row r="83" spans="6:20"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48">
        <f>Q76*0.5</f>
        <v>15900000000</v>
      </c>
      <c r="R83" s="426"/>
      <c r="S83" s="426"/>
      <c r="T83" s="426"/>
    </row>
    <row r="84" spans="6:20"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</row>
  </sheetData>
  <mergeCells count="27">
    <mergeCell ref="R38:S38"/>
    <mergeCell ref="C30:F30"/>
    <mergeCell ref="V7:V12"/>
    <mergeCell ref="B31:B32"/>
    <mergeCell ref="C31:C32"/>
    <mergeCell ref="F31:F32"/>
    <mergeCell ref="G31:P31"/>
    <mergeCell ref="R31:R32"/>
    <mergeCell ref="S31:S32"/>
    <mergeCell ref="T31:T32"/>
    <mergeCell ref="U31:U32"/>
    <mergeCell ref="B2:S2"/>
    <mergeCell ref="B3:S3"/>
    <mergeCell ref="B4:S4"/>
    <mergeCell ref="R7:R9"/>
    <mergeCell ref="S7:S9"/>
    <mergeCell ref="T6:U6"/>
    <mergeCell ref="B7:B9"/>
    <mergeCell ref="C7:C9"/>
    <mergeCell ref="D7:D9"/>
    <mergeCell ref="E7:E9"/>
    <mergeCell ref="F7:F9"/>
    <mergeCell ref="G7:P7"/>
    <mergeCell ref="G8:G9"/>
    <mergeCell ref="H8:Q8"/>
    <mergeCell ref="T7:T9"/>
    <mergeCell ref="U7:U9"/>
  </mergeCells>
  <printOptions horizontalCentered="1"/>
  <pageMargins left="0.15" right="0" top="0.55000000000000004" bottom="0" header="0.34" footer="0.14000000000000001"/>
  <pageSetup paperSize="9" scale="55" orientation="landscape" horizontalDpi="4294967293" verticalDpi="4294967293" r:id="rId1"/>
  <headerFooter alignWithMargins="0"/>
  <rowBreaks count="1" manualBreakCount="1">
    <brk id="29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G20" sqref="G20"/>
    </sheetView>
  </sheetViews>
  <sheetFormatPr defaultRowHeight="12.75"/>
  <cols>
    <col min="2" max="2" width="9.28515625" bestFit="1" customWidth="1"/>
    <col min="3" max="3" width="14" bestFit="1" customWidth="1"/>
    <col min="4" max="4" width="19.42578125" customWidth="1"/>
    <col min="5" max="5" width="14" bestFit="1" customWidth="1"/>
  </cols>
  <sheetData>
    <row r="3" spans="1:3">
      <c r="A3" s="423" t="s">
        <v>143</v>
      </c>
    </row>
    <row r="4" spans="1:3">
      <c r="A4" s="423" t="s">
        <v>142</v>
      </c>
      <c r="B4" s="36">
        <v>7800</v>
      </c>
      <c r="C4" s="36">
        <f>B4*'[2]MINGG MAR'!$U$140</f>
        <v>6553365</v>
      </c>
    </row>
    <row r="5" spans="1:3">
      <c r="A5" s="423" t="s">
        <v>144</v>
      </c>
      <c r="B5" s="36">
        <v>3650</v>
      </c>
      <c r="C5" s="36">
        <f>B5*'[2]MINGG MAR'!$U$139</f>
        <v>36854050</v>
      </c>
    </row>
    <row r="6" spans="1:3">
      <c r="A6" s="423" t="s">
        <v>145</v>
      </c>
      <c r="B6" s="36">
        <v>36</v>
      </c>
      <c r="C6" s="36">
        <f>B6*'[2]MINGG MAR'!$U$149</f>
        <v>4554900</v>
      </c>
    </row>
    <row r="7" spans="1:3">
      <c r="A7" s="423" t="s">
        <v>146</v>
      </c>
      <c r="B7" s="36">
        <v>86</v>
      </c>
      <c r="C7" s="36">
        <f>B7*'[2]MINGG MAR'!$U$150</f>
        <v>742717.5</v>
      </c>
    </row>
    <row r="8" spans="1:3">
      <c r="B8" s="36"/>
      <c r="C8" s="36">
        <f>SUM(C4:C7)</f>
        <v>48705032.5</v>
      </c>
    </row>
    <row r="9" spans="1:3">
      <c r="C9" s="35"/>
    </row>
    <row r="10" spans="1:3">
      <c r="C10" s="35"/>
    </row>
    <row r="13" spans="1:3">
      <c r="A13" s="423" t="s">
        <v>147</v>
      </c>
    </row>
    <row r="14" spans="1:3">
      <c r="A14" s="423" t="s">
        <v>142</v>
      </c>
      <c r="B14" s="36">
        <v>3703</v>
      </c>
      <c r="C14" s="36">
        <f>B14*'[2]MINGG MAR'!$U$140</f>
        <v>3111168.0249999999</v>
      </c>
    </row>
    <row r="15" spans="1:3">
      <c r="A15" s="423" t="s">
        <v>144</v>
      </c>
      <c r="B15" s="36">
        <v>695</v>
      </c>
      <c r="C15" s="36">
        <f>B15*'[2]MINGG MAR'!$U$139</f>
        <v>7017415</v>
      </c>
    </row>
    <row r="16" spans="1:3">
      <c r="A16" s="423" t="s">
        <v>145</v>
      </c>
      <c r="B16" s="36">
        <v>54</v>
      </c>
      <c r="C16" s="36">
        <f>B16*'[2]MINGG MAR'!$U$149</f>
        <v>6832350</v>
      </c>
    </row>
    <row r="17" spans="1:5">
      <c r="A17" s="423" t="s">
        <v>146</v>
      </c>
      <c r="B17" s="36"/>
      <c r="C17" s="36"/>
    </row>
    <row r="18" spans="1:5">
      <c r="B18" s="36"/>
      <c r="C18" s="36">
        <f>SUM(C14:C17)</f>
        <v>16960933.024999999</v>
      </c>
    </row>
    <row r="19" spans="1:5">
      <c r="C19" s="35">
        <f>C18+C8</f>
        <v>65665965.524999999</v>
      </c>
      <c r="D19" s="36">
        <v>1329549400</v>
      </c>
      <c r="E19">
        <f>C19/D19*100</f>
        <v>4.9389639471086966</v>
      </c>
    </row>
    <row r="20" spans="1:5">
      <c r="E20" s="35"/>
    </row>
    <row r="21" spans="1:5">
      <c r="E21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7"/>
  <sheetViews>
    <sheetView topLeftCell="A199" workbookViewId="0">
      <selection activeCell="F235" sqref="F235"/>
    </sheetView>
  </sheetViews>
  <sheetFormatPr defaultRowHeight="12.75"/>
  <cols>
    <col min="3" max="3" width="21.5703125" customWidth="1"/>
    <col min="6" max="6" width="24" customWidth="1"/>
  </cols>
  <sheetData>
    <row r="2" spans="2:6">
      <c r="B2">
        <v>1</v>
      </c>
      <c r="C2" s="144">
        <v>42109</v>
      </c>
    </row>
    <row r="3" spans="2:6">
      <c r="B3">
        <f>B2+1</f>
        <v>2</v>
      </c>
      <c r="C3" s="144">
        <v>42110</v>
      </c>
    </row>
    <row r="4" spans="2:6">
      <c r="B4">
        <f t="shared" ref="B4:B67" si="0">B3+1</f>
        <v>3</v>
      </c>
      <c r="C4" s="144">
        <v>42111</v>
      </c>
    </row>
    <row r="5" spans="2:6">
      <c r="B5">
        <f t="shared" si="0"/>
        <v>4</v>
      </c>
      <c r="C5" s="144">
        <v>42112</v>
      </c>
      <c r="F5" s="36">
        <v>197499113777</v>
      </c>
    </row>
    <row r="6" spans="2:6">
      <c r="B6">
        <f t="shared" si="0"/>
        <v>5</v>
      </c>
      <c r="C6" s="144">
        <v>42113</v>
      </c>
    </row>
    <row r="7" spans="2:6">
      <c r="B7">
        <f t="shared" si="0"/>
        <v>6</v>
      </c>
      <c r="C7" s="144">
        <v>42114</v>
      </c>
      <c r="F7">
        <v>45461208000</v>
      </c>
    </row>
    <row r="8" spans="2:6">
      <c r="B8">
        <f t="shared" si="0"/>
        <v>7</v>
      </c>
      <c r="C8" s="144">
        <v>42115</v>
      </c>
    </row>
    <row r="9" spans="2:6">
      <c r="B9">
        <f t="shared" si="0"/>
        <v>8</v>
      </c>
      <c r="C9" s="144">
        <v>42116</v>
      </c>
    </row>
    <row r="10" spans="2:6">
      <c r="B10">
        <f t="shared" si="0"/>
        <v>9</v>
      </c>
      <c r="C10" s="144">
        <v>42117</v>
      </c>
    </row>
    <row r="11" spans="2:6" ht="15">
      <c r="B11">
        <f t="shared" si="0"/>
        <v>10</v>
      </c>
      <c r="C11" s="144">
        <v>42118</v>
      </c>
      <c r="F11" s="130">
        <v>242960321777</v>
      </c>
    </row>
    <row r="12" spans="2:6">
      <c r="B12">
        <f t="shared" si="0"/>
        <v>11</v>
      </c>
      <c r="C12" s="144">
        <v>42119</v>
      </c>
    </row>
    <row r="13" spans="2:6" ht="14.25">
      <c r="B13">
        <f t="shared" si="0"/>
        <v>12</v>
      </c>
      <c r="C13" s="144">
        <v>42120</v>
      </c>
      <c r="F13" s="137">
        <f t="shared" ref="F13" si="1">SUM(F10:F12)</f>
        <v>242960321777</v>
      </c>
    </row>
    <row r="14" spans="2:6">
      <c r="B14">
        <f t="shared" si="0"/>
        <v>13</v>
      </c>
      <c r="C14" s="144">
        <v>42121</v>
      </c>
    </row>
    <row r="15" spans="2:6">
      <c r="B15">
        <f t="shared" si="0"/>
        <v>14</v>
      </c>
      <c r="C15" s="144">
        <v>42122</v>
      </c>
    </row>
    <row r="16" spans="2:6">
      <c r="B16">
        <f t="shared" si="0"/>
        <v>15</v>
      </c>
      <c r="C16" s="144">
        <v>42123</v>
      </c>
      <c r="F16" s="145">
        <v>242960321777</v>
      </c>
    </row>
    <row r="17" spans="2:6">
      <c r="B17">
        <f t="shared" si="0"/>
        <v>16</v>
      </c>
      <c r="C17" s="144">
        <v>42124</v>
      </c>
    </row>
    <row r="18" spans="2:6">
      <c r="B18">
        <f t="shared" si="0"/>
        <v>17</v>
      </c>
      <c r="C18" s="144">
        <v>42125</v>
      </c>
      <c r="F18">
        <v>17096720927</v>
      </c>
    </row>
    <row r="19" spans="2:6">
      <c r="B19">
        <f t="shared" si="0"/>
        <v>18</v>
      </c>
      <c r="C19" s="144">
        <v>42126</v>
      </c>
    </row>
    <row r="20" spans="2:6" ht="18.75">
      <c r="B20">
        <f t="shared" si="0"/>
        <v>19</v>
      </c>
      <c r="C20" s="144">
        <v>42127</v>
      </c>
      <c r="F20" s="146">
        <v>260057042704</v>
      </c>
    </row>
    <row r="21" spans="2:6">
      <c r="B21">
        <f t="shared" si="0"/>
        <v>20</v>
      </c>
      <c r="C21" s="144">
        <v>42128</v>
      </c>
    </row>
    <row r="22" spans="2:6">
      <c r="B22">
        <f t="shared" si="0"/>
        <v>21</v>
      </c>
      <c r="C22" s="144">
        <v>42129</v>
      </c>
    </row>
    <row r="23" spans="2:6">
      <c r="B23">
        <f t="shared" si="0"/>
        <v>22</v>
      </c>
      <c r="C23" s="144">
        <v>42130</v>
      </c>
      <c r="F23">
        <v>8746115507</v>
      </c>
    </row>
    <row r="24" spans="2:6">
      <c r="B24">
        <f t="shared" si="0"/>
        <v>23</v>
      </c>
      <c r="C24" s="144">
        <v>42131</v>
      </c>
      <c r="F24">
        <v>4230293908</v>
      </c>
    </row>
    <row r="25" spans="2:6">
      <c r="B25">
        <f t="shared" si="0"/>
        <v>24</v>
      </c>
      <c r="C25" s="144">
        <v>42132</v>
      </c>
      <c r="F25">
        <v>4120311512</v>
      </c>
    </row>
    <row r="26" spans="2:6">
      <c r="B26">
        <f t="shared" si="0"/>
        <v>25</v>
      </c>
      <c r="C26" s="144">
        <v>42133</v>
      </c>
    </row>
    <row r="27" spans="2:6">
      <c r="B27">
        <f t="shared" si="0"/>
        <v>26</v>
      </c>
      <c r="C27" s="144">
        <v>42134</v>
      </c>
    </row>
    <row r="28" spans="2:6">
      <c r="B28">
        <f t="shared" si="0"/>
        <v>27</v>
      </c>
      <c r="C28" s="144">
        <v>42135</v>
      </c>
    </row>
    <row r="29" spans="2:6">
      <c r="B29">
        <f t="shared" si="0"/>
        <v>28</v>
      </c>
      <c r="C29" s="144">
        <v>42136</v>
      </c>
    </row>
    <row r="30" spans="2:6">
      <c r="B30">
        <f t="shared" si="0"/>
        <v>29</v>
      </c>
      <c r="C30" s="144">
        <v>42137</v>
      </c>
    </row>
    <row r="31" spans="2:6">
      <c r="B31">
        <f t="shared" si="0"/>
        <v>30</v>
      </c>
      <c r="C31" s="144">
        <v>42138</v>
      </c>
    </row>
    <row r="32" spans="2:6">
      <c r="B32">
        <f t="shared" si="0"/>
        <v>31</v>
      </c>
      <c r="C32" s="144">
        <v>42139</v>
      </c>
    </row>
    <row r="33" spans="2:3">
      <c r="B33">
        <f t="shared" si="0"/>
        <v>32</v>
      </c>
      <c r="C33" s="144">
        <v>42140</v>
      </c>
    </row>
    <row r="34" spans="2:3">
      <c r="B34">
        <f t="shared" si="0"/>
        <v>33</v>
      </c>
      <c r="C34" s="144">
        <v>42141</v>
      </c>
    </row>
    <row r="35" spans="2:3">
      <c r="B35">
        <f t="shared" si="0"/>
        <v>34</v>
      </c>
      <c r="C35" s="144">
        <v>42142</v>
      </c>
    </row>
    <row r="36" spans="2:3">
      <c r="B36">
        <f t="shared" si="0"/>
        <v>35</v>
      </c>
      <c r="C36" s="144">
        <v>42143</v>
      </c>
    </row>
    <row r="37" spans="2:3">
      <c r="B37">
        <f t="shared" si="0"/>
        <v>36</v>
      </c>
      <c r="C37" s="144">
        <v>42144</v>
      </c>
    </row>
    <row r="38" spans="2:3">
      <c r="B38">
        <f t="shared" si="0"/>
        <v>37</v>
      </c>
      <c r="C38" s="144">
        <v>42145</v>
      </c>
    </row>
    <row r="39" spans="2:3">
      <c r="B39">
        <f t="shared" si="0"/>
        <v>38</v>
      </c>
      <c r="C39" s="144">
        <v>42146</v>
      </c>
    </row>
    <row r="40" spans="2:3">
      <c r="B40">
        <f t="shared" si="0"/>
        <v>39</v>
      </c>
      <c r="C40" s="144">
        <v>42147</v>
      </c>
    </row>
    <row r="41" spans="2:3">
      <c r="B41">
        <f t="shared" si="0"/>
        <v>40</v>
      </c>
      <c r="C41" s="144">
        <v>42148</v>
      </c>
    </row>
    <row r="42" spans="2:3">
      <c r="B42">
        <f t="shared" si="0"/>
        <v>41</v>
      </c>
      <c r="C42" s="144">
        <v>42149</v>
      </c>
    </row>
    <row r="43" spans="2:3">
      <c r="B43">
        <f t="shared" si="0"/>
        <v>42</v>
      </c>
      <c r="C43" s="144">
        <v>42150</v>
      </c>
    </row>
    <row r="44" spans="2:3">
      <c r="B44">
        <f t="shared" si="0"/>
        <v>43</v>
      </c>
      <c r="C44" s="144">
        <v>42151</v>
      </c>
    </row>
    <row r="45" spans="2:3">
      <c r="B45">
        <f t="shared" si="0"/>
        <v>44</v>
      </c>
      <c r="C45" s="144">
        <v>42152</v>
      </c>
    </row>
    <row r="46" spans="2:3">
      <c r="B46">
        <f t="shared" si="0"/>
        <v>45</v>
      </c>
      <c r="C46" s="144">
        <v>42153</v>
      </c>
    </row>
    <row r="47" spans="2:3">
      <c r="B47">
        <f t="shared" si="0"/>
        <v>46</v>
      </c>
      <c r="C47" s="144">
        <v>42154</v>
      </c>
    </row>
    <row r="48" spans="2:3">
      <c r="B48">
        <f t="shared" si="0"/>
        <v>47</v>
      </c>
      <c r="C48" s="144">
        <v>42155</v>
      </c>
    </row>
    <row r="49" spans="2:3">
      <c r="B49">
        <f t="shared" si="0"/>
        <v>48</v>
      </c>
      <c r="C49" s="144">
        <v>42156</v>
      </c>
    </row>
    <row r="50" spans="2:3">
      <c r="B50">
        <f t="shared" si="0"/>
        <v>49</v>
      </c>
      <c r="C50" s="144">
        <v>42157</v>
      </c>
    </row>
    <row r="51" spans="2:3">
      <c r="B51">
        <f t="shared" si="0"/>
        <v>50</v>
      </c>
      <c r="C51" s="144">
        <v>42158</v>
      </c>
    </row>
    <row r="52" spans="2:3">
      <c r="B52">
        <f t="shared" si="0"/>
        <v>51</v>
      </c>
      <c r="C52" s="144">
        <v>42159</v>
      </c>
    </row>
    <row r="53" spans="2:3">
      <c r="B53">
        <f t="shared" si="0"/>
        <v>52</v>
      </c>
      <c r="C53" s="144">
        <v>42160</v>
      </c>
    </row>
    <row r="54" spans="2:3">
      <c r="B54">
        <f t="shared" si="0"/>
        <v>53</v>
      </c>
      <c r="C54" s="144">
        <v>42161</v>
      </c>
    </row>
    <row r="55" spans="2:3">
      <c r="B55">
        <f t="shared" si="0"/>
        <v>54</v>
      </c>
      <c r="C55" s="144">
        <v>42162</v>
      </c>
    </row>
    <row r="56" spans="2:3">
      <c r="B56">
        <f t="shared" si="0"/>
        <v>55</v>
      </c>
      <c r="C56" s="144">
        <v>42163</v>
      </c>
    </row>
    <row r="57" spans="2:3">
      <c r="B57">
        <f t="shared" si="0"/>
        <v>56</v>
      </c>
      <c r="C57" s="144">
        <v>42164</v>
      </c>
    </row>
    <row r="58" spans="2:3">
      <c r="B58">
        <f t="shared" si="0"/>
        <v>57</v>
      </c>
      <c r="C58" s="144">
        <v>42165</v>
      </c>
    </row>
    <row r="59" spans="2:3">
      <c r="B59">
        <f t="shared" si="0"/>
        <v>58</v>
      </c>
      <c r="C59" s="144">
        <v>42166</v>
      </c>
    </row>
    <row r="60" spans="2:3">
      <c r="B60">
        <f t="shared" si="0"/>
        <v>59</v>
      </c>
      <c r="C60" s="144">
        <v>42167</v>
      </c>
    </row>
    <row r="61" spans="2:3">
      <c r="B61">
        <f t="shared" si="0"/>
        <v>60</v>
      </c>
      <c r="C61" s="144">
        <v>42168</v>
      </c>
    </row>
    <row r="62" spans="2:3">
      <c r="B62">
        <f t="shared" si="0"/>
        <v>61</v>
      </c>
      <c r="C62" s="144">
        <v>42169</v>
      </c>
    </row>
    <row r="63" spans="2:3">
      <c r="B63">
        <f t="shared" si="0"/>
        <v>62</v>
      </c>
      <c r="C63" s="144">
        <v>42170</v>
      </c>
    </row>
    <row r="64" spans="2:3">
      <c r="B64">
        <f t="shared" si="0"/>
        <v>63</v>
      </c>
      <c r="C64" s="144">
        <v>42171</v>
      </c>
    </row>
    <row r="65" spans="2:3">
      <c r="B65">
        <f t="shared" si="0"/>
        <v>64</v>
      </c>
      <c r="C65" s="144">
        <v>42172</v>
      </c>
    </row>
    <row r="66" spans="2:3">
      <c r="B66">
        <f t="shared" si="0"/>
        <v>65</v>
      </c>
      <c r="C66" s="144">
        <v>42173</v>
      </c>
    </row>
    <row r="67" spans="2:3">
      <c r="B67">
        <f t="shared" si="0"/>
        <v>66</v>
      </c>
      <c r="C67" s="144">
        <v>42174</v>
      </c>
    </row>
    <row r="68" spans="2:3">
      <c r="B68">
        <f t="shared" ref="B68:B131" si="2">B67+1</f>
        <v>67</v>
      </c>
      <c r="C68" s="144">
        <v>42175</v>
      </c>
    </row>
    <row r="69" spans="2:3">
      <c r="B69">
        <f t="shared" si="2"/>
        <v>68</v>
      </c>
      <c r="C69" s="144">
        <v>42176</v>
      </c>
    </row>
    <row r="70" spans="2:3">
      <c r="B70">
        <f t="shared" si="2"/>
        <v>69</v>
      </c>
      <c r="C70" s="144">
        <v>42177</v>
      </c>
    </row>
    <row r="71" spans="2:3">
      <c r="B71">
        <f t="shared" si="2"/>
        <v>70</v>
      </c>
      <c r="C71" s="144">
        <v>42178</v>
      </c>
    </row>
    <row r="72" spans="2:3">
      <c r="B72">
        <f t="shared" si="2"/>
        <v>71</v>
      </c>
      <c r="C72" s="144">
        <v>42179</v>
      </c>
    </row>
    <row r="73" spans="2:3">
      <c r="B73">
        <f t="shared" si="2"/>
        <v>72</v>
      </c>
      <c r="C73" s="144">
        <v>42180</v>
      </c>
    </row>
    <row r="74" spans="2:3">
      <c r="B74">
        <f t="shared" si="2"/>
        <v>73</v>
      </c>
      <c r="C74" s="144">
        <v>42181</v>
      </c>
    </row>
    <row r="75" spans="2:3">
      <c r="B75">
        <f t="shared" si="2"/>
        <v>74</v>
      </c>
      <c r="C75" s="144">
        <v>42182</v>
      </c>
    </row>
    <row r="76" spans="2:3">
      <c r="B76">
        <f t="shared" si="2"/>
        <v>75</v>
      </c>
      <c r="C76" s="144">
        <v>42183</v>
      </c>
    </row>
    <row r="77" spans="2:3">
      <c r="B77">
        <f t="shared" si="2"/>
        <v>76</v>
      </c>
      <c r="C77" s="144">
        <v>42184</v>
      </c>
    </row>
    <row r="78" spans="2:3">
      <c r="B78">
        <f t="shared" si="2"/>
        <v>77</v>
      </c>
      <c r="C78" s="144">
        <v>42185</v>
      </c>
    </row>
    <row r="79" spans="2:3">
      <c r="B79">
        <f t="shared" si="2"/>
        <v>78</v>
      </c>
      <c r="C79" s="144">
        <v>42186</v>
      </c>
    </row>
    <row r="80" spans="2:3">
      <c r="B80">
        <f t="shared" si="2"/>
        <v>79</v>
      </c>
      <c r="C80" s="144">
        <v>42187</v>
      </c>
    </row>
    <row r="81" spans="2:3">
      <c r="B81">
        <f t="shared" si="2"/>
        <v>80</v>
      </c>
      <c r="C81" s="144">
        <v>42188</v>
      </c>
    </row>
    <row r="82" spans="2:3">
      <c r="B82">
        <f t="shared" si="2"/>
        <v>81</v>
      </c>
      <c r="C82" s="144">
        <v>42189</v>
      </c>
    </row>
    <row r="83" spans="2:3">
      <c r="B83">
        <f t="shared" si="2"/>
        <v>82</v>
      </c>
      <c r="C83" s="144">
        <v>42190</v>
      </c>
    </row>
    <row r="84" spans="2:3">
      <c r="B84">
        <f t="shared" si="2"/>
        <v>83</v>
      </c>
      <c r="C84" s="144">
        <v>42191</v>
      </c>
    </row>
    <row r="85" spans="2:3">
      <c r="B85">
        <f t="shared" si="2"/>
        <v>84</v>
      </c>
      <c r="C85" s="144">
        <v>42192</v>
      </c>
    </row>
    <row r="86" spans="2:3">
      <c r="B86">
        <f t="shared" si="2"/>
        <v>85</v>
      </c>
      <c r="C86" s="144">
        <v>42193</v>
      </c>
    </row>
    <row r="87" spans="2:3">
      <c r="B87">
        <f t="shared" si="2"/>
        <v>86</v>
      </c>
      <c r="C87" s="144">
        <v>42194</v>
      </c>
    </row>
    <row r="88" spans="2:3">
      <c r="B88">
        <f t="shared" si="2"/>
        <v>87</v>
      </c>
      <c r="C88" s="144">
        <v>42195</v>
      </c>
    </row>
    <row r="89" spans="2:3">
      <c r="B89">
        <f t="shared" si="2"/>
        <v>88</v>
      </c>
      <c r="C89" s="144">
        <v>42196</v>
      </c>
    </row>
    <row r="90" spans="2:3">
      <c r="B90">
        <f t="shared" si="2"/>
        <v>89</v>
      </c>
      <c r="C90" s="144">
        <v>42197</v>
      </c>
    </row>
    <row r="91" spans="2:3">
      <c r="B91">
        <f t="shared" si="2"/>
        <v>90</v>
      </c>
      <c r="C91" s="144">
        <v>42198</v>
      </c>
    </row>
    <row r="92" spans="2:3">
      <c r="B92">
        <f t="shared" si="2"/>
        <v>91</v>
      </c>
      <c r="C92" s="144">
        <v>42199</v>
      </c>
    </row>
    <row r="93" spans="2:3">
      <c r="B93">
        <f t="shared" si="2"/>
        <v>92</v>
      </c>
      <c r="C93" s="144">
        <v>42200</v>
      </c>
    </row>
    <row r="94" spans="2:3">
      <c r="B94">
        <f t="shared" si="2"/>
        <v>93</v>
      </c>
      <c r="C94" s="144">
        <v>42201</v>
      </c>
    </row>
    <row r="95" spans="2:3">
      <c r="B95">
        <f t="shared" si="2"/>
        <v>94</v>
      </c>
      <c r="C95" s="144">
        <v>42202</v>
      </c>
    </row>
    <row r="96" spans="2:3">
      <c r="B96">
        <f t="shared" si="2"/>
        <v>95</v>
      </c>
      <c r="C96" s="144">
        <v>42203</v>
      </c>
    </row>
    <row r="97" spans="2:3">
      <c r="B97">
        <f t="shared" si="2"/>
        <v>96</v>
      </c>
      <c r="C97" s="144">
        <v>42204</v>
      </c>
    </row>
    <row r="98" spans="2:3">
      <c r="B98">
        <f t="shared" si="2"/>
        <v>97</v>
      </c>
      <c r="C98" s="144">
        <v>42205</v>
      </c>
    </row>
    <row r="99" spans="2:3">
      <c r="B99">
        <f t="shared" si="2"/>
        <v>98</v>
      </c>
      <c r="C99" s="144">
        <v>42206</v>
      </c>
    </row>
    <row r="100" spans="2:3">
      <c r="B100">
        <f t="shared" si="2"/>
        <v>99</v>
      </c>
      <c r="C100" s="144">
        <v>42207</v>
      </c>
    </row>
    <row r="101" spans="2:3">
      <c r="B101">
        <f t="shared" si="2"/>
        <v>100</v>
      </c>
      <c r="C101" s="144">
        <v>42208</v>
      </c>
    </row>
    <row r="102" spans="2:3">
      <c r="B102">
        <f t="shared" si="2"/>
        <v>101</v>
      </c>
      <c r="C102" s="144">
        <v>42209</v>
      </c>
    </row>
    <row r="103" spans="2:3">
      <c r="B103">
        <f t="shared" si="2"/>
        <v>102</v>
      </c>
      <c r="C103" s="144">
        <v>42210</v>
      </c>
    </row>
    <row r="104" spans="2:3">
      <c r="B104">
        <f t="shared" si="2"/>
        <v>103</v>
      </c>
      <c r="C104" s="144">
        <v>42211</v>
      </c>
    </row>
    <row r="105" spans="2:3">
      <c r="B105">
        <f t="shared" si="2"/>
        <v>104</v>
      </c>
      <c r="C105" s="144">
        <v>42212</v>
      </c>
    </row>
    <row r="106" spans="2:3">
      <c r="B106">
        <f t="shared" si="2"/>
        <v>105</v>
      </c>
      <c r="C106" s="144">
        <v>42213</v>
      </c>
    </row>
    <row r="107" spans="2:3">
      <c r="B107">
        <f t="shared" si="2"/>
        <v>106</v>
      </c>
      <c r="C107" s="144">
        <v>42214</v>
      </c>
    </row>
    <row r="108" spans="2:3">
      <c r="B108">
        <f t="shared" si="2"/>
        <v>107</v>
      </c>
      <c r="C108" s="144">
        <v>42215</v>
      </c>
    </row>
    <row r="109" spans="2:3">
      <c r="B109">
        <f t="shared" si="2"/>
        <v>108</v>
      </c>
      <c r="C109" s="144">
        <v>42216</v>
      </c>
    </row>
    <row r="110" spans="2:3">
      <c r="B110">
        <f t="shared" si="2"/>
        <v>109</v>
      </c>
      <c r="C110" s="144">
        <v>42217</v>
      </c>
    </row>
    <row r="111" spans="2:3">
      <c r="B111">
        <f t="shared" si="2"/>
        <v>110</v>
      </c>
      <c r="C111" s="144">
        <v>42218</v>
      </c>
    </row>
    <row r="112" spans="2:3">
      <c r="B112">
        <f t="shared" si="2"/>
        <v>111</v>
      </c>
      <c r="C112" s="144">
        <v>42219</v>
      </c>
    </row>
    <row r="113" spans="2:3">
      <c r="B113">
        <f t="shared" si="2"/>
        <v>112</v>
      </c>
      <c r="C113" s="144">
        <v>42220</v>
      </c>
    </row>
    <row r="114" spans="2:3">
      <c r="B114">
        <f t="shared" si="2"/>
        <v>113</v>
      </c>
      <c r="C114" s="144">
        <v>42221</v>
      </c>
    </row>
    <row r="115" spans="2:3">
      <c r="B115">
        <f t="shared" si="2"/>
        <v>114</v>
      </c>
      <c r="C115" s="144">
        <v>42222</v>
      </c>
    </row>
    <row r="116" spans="2:3">
      <c r="B116">
        <f t="shared" si="2"/>
        <v>115</v>
      </c>
      <c r="C116" s="144">
        <v>42223</v>
      </c>
    </row>
    <row r="117" spans="2:3">
      <c r="B117">
        <f t="shared" si="2"/>
        <v>116</v>
      </c>
      <c r="C117" s="144">
        <v>42224</v>
      </c>
    </row>
    <row r="118" spans="2:3">
      <c r="B118">
        <f t="shared" si="2"/>
        <v>117</v>
      </c>
      <c r="C118" s="144">
        <v>42225</v>
      </c>
    </row>
    <row r="119" spans="2:3">
      <c r="B119">
        <f t="shared" si="2"/>
        <v>118</v>
      </c>
      <c r="C119" s="144">
        <v>42226</v>
      </c>
    </row>
    <row r="120" spans="2:3">
      <c r="B120">
        <f t="shared" si="2"/>
        <v>119</v>
      </c>
      <c r="C120" s="144">
        <v>42227</v>
      </c>
    </row>
    <row r="121" spans="2:3">
      <c r="B121">
        <f t="shared" si="2"/>
        <v>120</v>
      </c>
      <c r="C121" s="144">
        <v>42228</v>
      </c>
    </row>
    <row r="122" spans="2:3">
      <c r="B122">
        <f t="shared" si="2"/>
        <v>121</v>
      </c>
      <c r="C122" s="144">
        <v>42229</v>
      </c>
    </row>
    <row r="123" spans="2:3">
      <c r="B123">
        <f t="shared" si="2"/>
        <v>122</v>
      </c>
      <c r="C123" s="144">
        <v>42230</v>
      </c>
    </row>
    <row r="124" spans="2:3">
      <c r="B124">
        <f t="shared" si="2"/>
        <v>123</v>
      </c>
      <c r="C124" s="144">
        <v>42231</v>
      </c>
    </row>
    <row r="125" spans="2:3">
      <c r="B125">
        <f t="shared" si="2"/>
        <v>124</v>
      </c>
      <c r="C125" s="144">
        <v>42232</v>
      </c>
    </row>
    <row r="126" spans="2:3">
      <c r="B126">
        <f t="shared" si="2"/>
        <v>125</v>
      </c>
      <c r="C126" s="144">
        <v>42233</v>
      </c>
    </row>
    <row r="127" spans="2:3">
      <c r="B127">
        <f t="shared" si="2"/>
        <v>126</v>
      </c>
      <c r="C127" s="144">
        <v>42234</v>
      </c>
    </row>
    <row r="128" spans="2:3">
      <c r="B128">
        <f t="shared" si="2"/>
        <v>127</v>
      </c>
      <c r="C128" s="144">
        <v>42235</v>
      </c>
    </row>
    <row r="129" spans="2:3">
      <c r="B129">
        <f t="shared" si="2"/>
        <v>128</v>
      </c>
      <c r="C129" s="144">
        <v>42236</v>
      </c>
    </row>
    <row r="130" spans="2:3">
      <c r="B130">
        <f t="shared" si="2"/>
        <v>129</v>
      </c>
      <c r="C130" s="144">
        <v>42237</v>
      </c>
    </row>
    <row r="131" spans="2:3">
      <c r="B131">
        <f t="shared" si="2"/>
        <v>130</v>
      </c>
      <c r="C131" s="144">
        <v>42238</v>
      </c>
    </row>
    <row r="132" spans="2:3">
      <c r="B132">
        <f t="shared" ref="B132:B195" si="3">B131+1</f>
        <v>131</v>
      </c>
      <c r="C132" s="144">
        <v>42239</v>
      </c>
    </row>
    <row r="133" spans="2:3">
      <c r="B133">
        <f t="shared" si="3"/>
        <v>132</v>
      </c>
      <c r="C133" s="144">
        <v>42240</v>
      </c>
    </row>
    <row r="134" spans="2:3">
      <c r="B134">
        <f t="shared" si="3"/>
        <v>133</v>
      </c>
      <c r="C134" s="144">
        <v>42241</v>
      </c>
    </row>
    <row r="135" spans="2:3">
      <c r="B135">
        <f t="shared" si="3"/>
        <v>134</v>
      </c>
      <c r="C135" s="144">
        <v>42242</v>
      </c>
    </row>
    <row r="136" spans="2:3">
      <c r="B136">
        <f t="shared" si="3"/>
        <v>135</v>
      </c>
      <c r="C136" s="144">
        <v>42243</v>
      </c>
    </row>
    <row r="137" spans="2:3">
      <c r="B137">
        <f t="shared" si="3"/>
        <v>136</v>
      </c>
      <c r="C137" s="144">
        <v>42244</v>
      </c>
    </row>
    <row r="138" spans="2:3">
      <c r="B138">
        <f t="shared" si="3"/>
        <v>137</v>
      </c>
      <c r="C138" s="144">
        <v>42245</v>
      </c>
    </row>
    <row r="139" spans="2:3">
      <c r="B139">
        <f t="shared" si="3"/>
        <v>138</v>
      </c>
      <c r="C139" s="144">
        <v>42246</v>
      </c>
    </row>
    <row r="140" spans="2:3">
      <c r="B140">
        <f t="shared" si="3"/>
        <v>139</v>
      </c>
      <c r="C140" s="144">
        <v>42247</v>
      </c>
    </row>
    <row r="141" spans="2:3">
      <c r="B141">
        <f t="shared" si="3"/>
        <v>140</v>
      </c>
      <c r="C141" s="144">
        <v>42248</v>
      </c>
    </row>
    <row r="142" spans="2:3">
      <c r="B142">
        <f t="shared" si="3"/>
        <v>141</v>
      </c>
      <c r="C142" s="144">
        <v>42249</v>
      </c>
    </row>
    <row r="143" spans="2:3">
      <c r="B143">
        <f t="shared" si="3"/>
        <v>142</v>
      </c>
      <c r="C143" s="144">
        <v>42250</v>
      </c>
    </row>
    <row r="144" spans="2:3">
      <c r="B144">
        <f t="shared" si="3"/>
        <v>143</v>
      </c>
      <c r="C144" s="144">
        <v>42251</v>
      </c>
    </row>
    <row r="145" spans="2:3">
      <c r="B145">
        <f t="shared" si="3"/>
        <v>144</v>
      </c>
      <c r="C145" s="144">
        <v>42252</v>
      </c>
    </row>
    <row r="146" spans="2:3">
      <c r="B146">
        <f t="shared" si="3"/>
        <v>145</v>
      </c>
      <c r="C146" s="144">
        <v>42253</v>
      </c>
    </row>
    <row r="147" spans="2:3">
      <c r="B147">
        <f t="shared" si="3"/>
        <v>146</v>
      </c>
      <c r="C147" s="144">
        <v>42254</v>
      </c>
    </row>
    <row r="148" spans="2:3">
      <c r="B148">
        <f t="shared" si="3"/>
        <v>147</v>
      </c>
      <c r="C148" s="144">
        <v>42255</v>
      </c>
    </row>
    <row r="149" spans="2:3">
      <c r="B149">
        <f t="shared" si="3"/>
        <v>148</v>
      </c>
      <c r="C149" s="144">
        <v>42256</v>
      </c>
    </row>
    <row r="150" spans="2:3">
      <c r="B150">
        <f t="shared" si="3"/>
        <v>149</v>
      </c>
      <c r="C150" s="144">
        <v>42257</v>
      </c>
    </row>
    <row r="151" spans="2:3">
      <c r="B151">
        <f t="shared" si="3"/>
        <v>150</v>
      </c>
      <c r="C151" s="144">
        <v>42258</v>
      </c>
    </row>
    <row r="152" spans="2:3">
      <c r="B152">
        <f t="shared" si="3"/>
        <v>151</v>
      </c>
      <c r="C152" s="144">
        <v>42259</v>
      </c>
    </row>
    <row r="153" spans="2:3">
      <c r="B153">
        <f t="shared" si="3"/>
        <v>152</v>
      </c>
      <c r="C153" s="144">
        <v>42260</v>
      </c>
    </row>
    <row r="154" spans="2:3">
      <c r="B154">
        <f t="shared" si="3"/>
        <v>153</v>
      </c>
      <c r="C154" s="144">
        <v>42261</v>
      </c>
    </row>
    <row r="155" spans="2:3">
      <c r="B155">
        <f t="shared" si="3"/>
        <v>154</v>
      </c>
      <c r="C155" s="144">
        <v>42262</v>
      </c>
    </row>
    <row r="156" spans="2:3">
      <c r="B156">
        <f t="shared" si="3"/>
        <v>155</v>
      </c>
      <c r="C156" s="144">
        <v>42263</v>
      </c>
    </row>
    <row r="157" spans="2:3">
      <c r="B157">
        <f t="shared" si="3"/>
        <v>156</v>
      </c>
      <c r="C157" s="144">
        <v>42264</v>
      </c>
    </row>
    <row r="158" spans="2:3">
      <c r="B158">
        <f t="shared" si="3"/>
        <v>157</v>
      </c>
      <c r="C158" s="144">
        <v>42265</v>
      </c>
    </row>
    <row r="159" spans="2:3">
      <c r="B159">
        <f t="shared" si="3"/>
        <v>158</v>
      </c>
      <c r="C159" s="144">
        <v>42266</v>
      </c>
    </row>
    <row r="160" spans="2:3">
      <c r="B160">
        <f t="shared" si="3"/>
        <v>159</v>
      </c>
      <c r="C160" s="144">
        <v>42267</v>
      </c>
    </row>
    <row r="161" spans="2:3">
      <c r="B161">
        <f t="shared" si="3"/>
        <v>160</v>
      </c>
      <c r="C161" s="144">
        <v>42268</v>
      </c>
    </row>
    <row r="162" spans="2:3">
      <c r="B162">
        <f t="shared" si="3"/>
        <v>161</v>
      </c>
      <c r="C162" s="144">
        <v>42269</v>
      </c>
    </row>
    <row r="163" spans="2:3">
      <c r="B163">
        <f t="shared" si="3"/>
        <v>162</v>
      </c>
      <c r="C163" s="144">
        <v>42270</v>
      </c>
    </row>
    <row r="164" spans="2:3">
      <c r="B164">
        <f t="shared" si="3"/>
        <v>163</v>
      </c>
      <c r="C164" s="144">
        <v>42271</v>
      </c>
    </row>
    <row r="165" spans="2:3">
      <c r="B165">
        <f t="shared" si="3"/>
        <v>164</v>
      </c>
      <c r="C165" s="144">
        <v>42272</v>
      </c>
    </row>
    <row r="166" spans="2:3">
      <c r="B166">
        <f t="shared" si="3"/>
        <v>165</v>
      </c>
      <c r="C166" s="144">
        <v>42273</v>
      </c>
    </row>
    <row r="167" spans="2:3">
      <c r="B167">
        <f t="shared" si="3"/>
        <v>166</v>
      </c>
      <c r="C167" s="144">
        <v>42274</v>
      </c>
    </row>
    <row r="168" spans="2:3">
      <c r="B168">
        <f t="shared" si="3"/>
        <v>167</v>
      </c>
      <c r="C168" s="144">
        <v>42275</v>
      </c>
    </row>
    <row r="169" spans="2:3">
      <c r="B169">
        <f t="shared" si="3"/>
        <v>168</v>
      </c>
      <c r="C169" s="144">
        <v>42276</v>
      </c>
    </row>
    <row r="170" spans="2:3">
      <c r="B170">
        <f t="shared" si="3"/>
        <v>169</v>
      </c>
      <c r="C170" s="144">
        <v>42277</v>
      </c>
    </row>
    <row r="171" spans="2:3">
      <c r="B171">
        <f t="shared" si="3"/>
        <v>170</v>
      </c>
      <c r="C171" s="144">
        <v>42278</v>
      </c>
    </row>
    <row r="172" spans="2:3">
      <c r="B172">
        <f t="shared" si="3"/>
        <v>171</v>
      </c>
      <c r="C172" s="144">
        <v>42279</v>
      </c>
    </row>
    <row r="173" spans="2:3">
      <c r="B173">
        <f t="shared" si="3"/>
        <v>172</v>
      </c>
      <c r="C173" s="144">
        <v>42280</v>
      </c>
    </row>
    <row r="174" spans="2:3">
      <c r="B174">
        <f t="shared" si="3"/>
        <v>173</v>
      </c>
      <c r="C174" s="144">
        <v>42281</v>
      </c>
    </row>
    <row r="175" spans="2:3">
      <c r="B175">
        <f t="shared" si="3"/>
        <v>174</v>
      </c>
      <c r="C175" s="144">
        <v>42282</v>
      </c>
    </row>
    <row r="176" spans="2:3">
      <c r="B176">
        <f t="shared" si="3"/>
        <v>175</v>
      </c>
      <c r="C176" s="144">
        <v>42283</v>
      </c>
    </row>
    <row r="177" spans="2:3">
      <c r="B177">
        <f t="shared" si="3"/>
        <v>176</v>
      </c>
      <c r="C177" s="144">
        <v>42284</v>
      </c>
    </row>
    <row r="178" spans="2:3">
      <c r="B178">
        <f t="shared" si="3"/>
        <v>177</v>
      </c>
      <c r="C178" s="144">
        <v>42285</v>
      </c>
    </row>
    <row r="179" spans="2:3">
      <c r="B179">
        <f t="shared" si="3"/>
        <v>178</v>
      </c>
      <c r="C179" s="144">
        <v>42286</v>
      </c>
    </row>
    <row r="180" spans="2:3">
      <c r="B180">
        <f t="shared" si="3"/>
        <v>179</v>
      </c>
      <c r="C180" s="144">
        <v>42287</v>
      </c>
    </row>
    <row r="181" spans="2:3">
      <c r="B181">
        <f t="shared" si="3"/>
        <v>180</v>
      </c>
      <c r="C181" s="144">
        <v>42288</v>
      </c>
    </row>
    <row r="182" spans="2:3">
      <c r="B182">
        <f t="shared" si="3"/>
        <v>181</v>
      </c>
      <c r="C182" s="144">
        <v>42289</v>
      </c>
    </row>
    <row r="183" spans="2:3">
      <c r="B183">
        <f t="shared" si="3"/>
        <v>182</v>
      </c>
      <c r="C183" s="144">
        <v>42290</v>
      </c>
    </row>
    <row r="184" spans="2:3">
      <c r="B184">
        <f t="shared" si="3"/>
        <v>183</v>
      </c>
      <c r="C184" s="144">
        <v>42291</v>
      </c>
    </row>
    <row r="185" spans="2:3">
      <c r="B185">
        <f t="shared" si="3"/>
        <v>184</v>
      </c>
      <c r="C185" s="144">
        <v>42292</v>
      </c>
    </row>
    <row r="186" spans="2:3">
      <c r="B186">
        <f t="shared" si="3"/>
        <v>185</v>
      </c>
      <c r="C186" s="144">
        <v>42293</v>
      </c>
    </row>
    <row r="187" spans="2:3">
      <c r="B187">
        <f t="shared" si="3"/>
        <v>186</v>
      </c>
      <c r="C187" s="144">
        <v>42294</v>
      </c>
    </row>
    <row r="188" spans="2:3">
      <c r="B188">
        <f t="shared" si="3"/>
        <v>187</v>
      </c>
      <c r="C188" s="144">
        <v>42295</v>
      </c>
    </row>
    <row r="189" spans="2:3">
      <c r="B189">
        <f t="shared" si="3"/>
        <v>188</v>
      </c>
      <c r="C189" s="144">
        <v>42296</v>
      </c>
    </row>
    <row r="190" spans="2:3">
      <c r="B190">
        <f t="shared" si="3"/>
        <v>189</v>
      </c>
      <c r="C190" s="144">
        <v>42297</v>
      </c>
    </row>
    <row r="191" spans="2:3">
      <c r="B191">
        <f t="shared" si="3"/>
        <v>190</v>
      </c>
      <c r="C191" s="144">
        <v>42298</v>
      </c>
    </row>
    <row r="192" spans="2:3">
      <c r="B192">
        <f t="shared" si="3"/>
        <v>191</v>
      </c>
      <c r="C192" s="144">
        <v>42299</v>
      </c>
    </row>
    <row r="193" spans="2:3">
      <c r="B193">
        <f t="shared" si="3"/>
        <v>192</v>
      </c>
      <c r="C193" s="144">
        <v>42300</v>
      </c>
    </row>
    <row r="194" spans="2:3">
      <c r="B194">
        <f t="shared" si="3"/>
        <v>193</v>
      </c>
      <c r="C194" s="144">
        <v>42301</v>
      </c>
    </row>
    <row r="195" spans="2:3">
      <c r="B195">
        <f t="shared" si="3"/>
        <v>194</v>
      </c>
      <c r="C195" s="144">
        <v>42302</v>
      </c>
    </row>
    <row r="196" spans="2:3">
      <c r="B196">
        <f t="shared" ref="B196:B259" si="4">B195+1</f>
        <v>195</v>
      </c>
      <c r="C196" s="144">
        <v>42303</v>
      </c>
    </row>
    <row r="197" spans="2:3">
      <c r="B197">
        <f t="shared" si="4"/>
        <v>196</v>
      </c>
      <c r="C197" s="144">
        <v>42304</v>
      </c>
    </row>
    <row r="198" spans="2:3">
      <c r="B198">
        <f t="shared" si="4"/>
        <v>197</v>
      </c>
      <c r="C198" s="144">
        <v>42305</v>
      </c>
    </row>
    <row r="199" spans="2:3">
      <c r="B199">
        <f t="shared" si="4"/>
        <v>198</v>
      </c>
      <c r="C199" s="144">
        <v>42306</v>
      </c>
    </row>
    <row r="200" spans="2:3">
      <c r="B200">
        <f t="shared" si="4"/>
        <v>199</v>
      </c>
      <c r="C200" s="144">
        <v>42307</v>
      </c>
    </row>
    <row r="201" spans="2:3">
      <c r="B201">
        <f t="shared" si="4"/>
        <v>200</v>
      </c>
      <c r="C201" s="144">
        <v>42308</v>
      </c>
    </row>
    <row r="202" spans="2:3">
      <c r="B202">
        <f t="shared" si="4"/>
        <v>201</v>
      </c>
      <c r="C202" s="144">
        <v>42309</v>
      </c>
    </row>
    <row r="203" spans="2:3">
      <c r="B203">
        <f t="shared" si="4"/>
        <v>202</v>
      </c>
      <c r="C203" s="144">
        <v>42310</v>
      </c>
    </row>
    <row r="204" spans="2:3">
      <c r="B204">
        <f t="shared" si="4"/>
        <v>203</v>
      </c>
      <c r="C204" s="144">
        <v>42311</v>
      </c>
    </row>
    <row r="205" spans="2:3">
      <c r="B205">
        <f t="shared" si="4"/>
        <v>204</v>
      </c>
      <c r="C205" s="144">
        <v>42312</v>
      </c>
    </row>
    <row r="206" spans="2:3">
      <c r="B206">
        <f t="shared" si="4"/>
        <v>205</v>
      </c>
      <c r="C206" s="144">
        <v>42313</v>
      </c>
    </row>
    <row r="207" spans="2:3">
      <c r="B207">
        <f t="shared" si="4"/>
        <v>206</v>
      </c>
      <c r="C207" s="144">
        <v>42314</v>
      </c>
    </row>
    <row r="208" spans="2:3">
      <c r="B208">
        <f t="shared" si="4"/>
        <v>207</v>
      </c>
      <c r="C208" s="144">
        <v>42315</v>
      </c>
    </row>
    <row r="209" spans="2:3">
      <c r="B209">
        <f t="shared" si="4"/>
        <v>208</v>
      </c>
      <c r="C209" s="144">
        <v>42316</v>
      </c>
    </row>
    <row r="210" spans="2:3">
      <c r="B210">
        <f t="shared" si="4"/>
        <v>209</v>
      </c>
      <c r="C210" s="144">
        <v>42317</v>
      </c>
    </row>
    <row r="211" spans="2:3">
      <c r="B211">
        <f t="shared" si="4"/>
        <v>210</v>
      </c>
      <c r="C211" s="144">
        <v>42318</v>
      </c>
    </row>
    <row r="212" spans="2:3">
      <c r="B212">
        <f t="shared" si="4"/>
        <v>211</v>
      </c>
      <c r="C212" s="144">
        <v>42319</v>
      </c>
    </row>
    <row r="213" spans="2:3">
      <c r="B213">
        <f t="shared" si="4"/>
        <v>212</v>
      </c>
      <c r="C213" s="144">
        <v>42320</v>
      </c>
    </row>
    <row r="214" spans="2:3">
      <c r="B214">
        <f t="shared" si="4"/>
        <v>213</v>
      </c>
      <c r="C214" s="144">
        <v>42321</v>
      </c>
    </row>
    <row r="215" spans="2:3">
      <c r="B215">
        <f t="shared" si="4"/>
        <v>214</v>
      </c>
      <c r="C215" s="144">
        <v>42322</v>
      </c>
    </row>
    <row r="216" spans="2:3">
      <c r="B216">
        <f t="shared" si="4"/>
        <v>215</v>
      </c>
      <c r="C216" s="144">
        <v>42323</v>
      </c>
    </row>
    <row r="217" spans="2:3">
      <c r="B217">
        <f t="shared" si="4"/>
        <v>216</v>
      </c>
      <c r="C217" s="144">
        <v>42324</v>
      </c>
    </row>
    <row r="218" spans="2:3">
      <c r="B218">
        <f t="shared" si="4"/>
        <v>217</v>
      </c>
      <c r="C218" s="144">
        <v>42325</v>
      </c>
    </row>
    <row r="219" spans="2:3">
      <c r="B219">
        <f t="shared" si="4"/>
        <v>218</v>
      </c>
      <c r="C219" s="144">
        <v>42326</v>
      </c>
    </row>
    <row r="220" spans="2:3">
      <c r="B220">
        <f t="shared" si="4"/>
        <v>219</v>
      </c>
      <c r="C220" s="144">
        <v>42327</v>
      </c>
    </row>
    <row r="221" spans="2:3">
      <c r="B221">
        <f t="shared" si="4"/>
        <v>220</v>
      </c>
      <c r="C221" s="144">
        <v>42328</v>
      </c>
    </row>
    <row r="222" spans="2:3">
      <c r="B222">
        <f t="shared" si="4"/>
        <v>221</v>
      </c>
      <c r="C222" s="144">
        <v>42329</v>
      </c>
    </row>
    <row r="223" spans="2:3">
      <c r="B223">
        <f t="shared" si="4"/>
        <v>222</v>
      </c>
      <c r="C223" s="144">
        <v>42330</v>
      </c>
    </row>
    <row r="224" spans="2:3">
      <c r="B224">
        <f t="shared" si="4"/>
        <v>223</v>
      </c>
      <c r="C224" s="144">
        <v>42331</v>
      </c>
    </row>
    <row r="225" spans="2:6">
      <c r="B225">
        <f t="shared" si="4"/>
        <v>224</v>
      </c>
      <c r="C225" s="144">
        <v>42332</v>
      </c>
    </row>
    <row r="226" spans="2:6">
      <c r="B226">
        <f t="shared" si="4"/>
        <v>225</v>
      </c>
      <c r="C226" s="144">
        <v>42333</v>
      </c>
    </row>
    <row r="227" spans="2:6">
      <c r="B227">
        <f t="shared" si="4"/>
        <v>226</v>
      </c>
      <c r="C227" s="144">
        <v>42334</v>
      </c>
    </row>
    <row r="228" spans="2:6">
      <c r="B228">
        <f t="shared" si="4"/>
        <v>227</v>
      </c>
      <c r="C228" s="144">
        <v>42335</v>
      </c>
    </row>
    <row r="229" spans="2:6">
      <c r="B229">
        <f t="shared" si="4"/>
        <v>228</v>
      </c>
      <c r="C229" s="144">
        <v>42336</v>
      </c>
    </row>
    <row r="230" spans="2:6">
      <c r="B230">
        <f t="shared" si="4"/>
        <v>229</v>
      </c>
      <c r="C230" s="144">
        <v>42337</v>
      </c>
    </row>
    <row r="231" spans="2:6">
      <c r="B231">
        <f t="shared" si="4"/>
        <v>230</v>
      </c>
      <c r="C231" s="144">
        <v>42338</v>
      </c>
    </row>
    <row r="232" spans="2:6">
      <c r="B232">
        <f t="shared" si="4"/>
        <v>231</v>
      </c>
      <c r="C232" s="144">
        <v>42339</v>
      </c>
    </row>
    <row r="233" spans="2:6">
      <c r="B233">
        <f t="shared" si="4"/>
        <v>232</v>
      </c>
      <c r="C233" s="144">
        <v>42340</v>
      </c>
    </row>
    <row r="234" spans="2:6">
      <c r="B234">
        <f t="shared" si="4"/>
        <v>233</v>
      </c>
      <c r="C234" s="144">
        <v>42341</v>
      </c>
      <c r="F234">
        <f>350*0.15*1</f>
        <v>52.5</v>
      </c>
    </row>
    <row r="235" spans="2:6">
      <c r="B235">
        <f t="shared" si="4"/>
        <v>234</v>
      </c>
      <c r="C235" s="144">
        <v>42342</v>
      </c>
    </row>
    <row r="236" spans="2:6">
      <c r="B236">
        <f t="shared" si="4"/>
        <v>235</v>
      </c>
      <c r="C236" s="144">
        <v>42343</v>
      </c>
    </row>
    <row r="237" spans="2:6">
      <c r="B237">
        <f t="shared" si="4"/>
        <v>236</v>
      </c>
      <c r="C237" s="144">
        <v>42344</v>
      </c>
    </row>
    <row r="238" spans="2:6">
      <c r="B238">
        <f t="shared" si="4"/>
        <v>237</v>
      </c>
      <c r="C238" s="144">
        <v>42345</v>
      </c>
    </row>
    <row r="239" spans="2:6">
      <c r="B239">
        <f t="shared" si="4"/>
        <v>238</v>
      </c>
      <c r="C239" s="144">
        <v>42346</v>
      </c>
    </row>
    <row r="240" spans="2:6">
      <c r="B240">
        <f t="shared" si="4"/>
        <v>239</v>
      </c>
      <c r="C240" s="144">
        <v>42347</v>
      </c>
    </row>
    <row r="241" spans="2:3">
      <c r="B241">
        <f t="shared" si="4"/>
        <v>240</v>
      </c>
      <c r="C241" s="144">
        <v>42348</v>
      </c>
    </row>
    <row r="242" spans="2:3">
      <c r="B242">
        <f t="shared" si="4"/>
        <v>241</v>
      </c>
    </row>
    <row r="243" spans="2:3">
      <c r="B243">
        <f t="shared" si="4"/>
        <v>242</v>
      </c>
    </row>
    <row r="244" spans="2:3">
      <c r="B244">
        <f t="shared" si="4"/>
        <v>243</v>
      </c>
    </row>
    <row r="245" spans="2:3">
      <c r="B245">
        <f t="shared" si="4"/>
        <v>244</v>
      </c>
    </row>
    <row r="246" spans="2:3">
      <c r="B246">
        <f t="shared" si="4"/>
        <v>245</v>
      </c>
    </row>
    <row r="247" spans="2:3">
      <c r="B247">
        <f t="shared" si="4"/>
        <v>246</v>
      </c>
    </row>
    <row r="248" spans="2:3">
      <c r="B248">
        <f t="shared" si="4"/>
        <v>247</v>
      </c>
    </row>
    <row r="249" spans="2:3">
      <c r="B249">
        <f t="shared" si="4"/>
        <v>248</v>
      </c>
    </row>
    <row r="250" spans="2:3">
      <c r="B250">
        <f t="shared" si="4"/>
        <v>249</v>
      </c>
    </row>
    <row r="251" spans="2:3">
      <c r="B251">
        <f t="shared" si="4"/>
        <v>250</v>
      </c>
    </row>
    <row r="252" spans="2:3">
      <c r="B252">
        <f t="shared" si="4"/>
        <v>251</v>
      </c>
    </row>
    <row r="253" spans="2:3">
      <c r="B253">
        <f t="shared" si="4"/>
        <v>252</v>
      </c>
    </row>
    <row r="254" spans="2:3">
      <c r="B254">
        <f t="shared" si="4"/>
        <v>253</v>
      </c>
    </row>
    <row r="255" spans="2:3">
      <c r="B255">
        <f t="shared" si="4"/>
        <v>254</v>
      </c>
    </row>
    <row r="256" spans="2:3">
      <c r="B256">
        <f t="shared" si="4"/>
        <v>255</v>
      </c>
    </row>
    <row r="257" spans="2:2">
      <c r="B257">
        <f t="shared" si="4"/>
        <v>256</v>
      </c>
    </row>
    <row r="258" spans="2:2">
      <c r="B258">
        <f t="shared" si="4"/>
        <v>257</v>
      </c>
    </row>
    <row r="259" spans="2:2">
      <c r="B259">
        <f t="shared" si="4"/>
        <v>258</v>
      </c>
    </row>
    <row r="260" spans="2:2">
      <c r="B260">
        <f t="shared" ref="B260:B323" si="5">B259+1</f>
        <v>259</v>
      </c>
    </row>
    <row r="261" spans="2:2">
      <c r="B261">
        <f t="shared" si="5"/>
        <v>260</v>
      </c>
    </row>
    <row r="262" spans="2:2">
      <c r="B262">
        <f t="shared" si="5"/>
        <v>261</v>
      </c>
    </row>
    <row r="263" spans="2:2">
      <c r="B263">
        <f t="shared" si="5"/>
        <v>262</v>
      </c>
    </row>
    <row r="264" spans="2:2">
      <c r="B264">
        <f t="shared" si="5"/>
        <v>263</v>
      </c>
    </row>
    <row r="265" spans="2:2">
      <c r="B265">
        <f t="shared" si="5"/>
        <v>264</v>
      </c>
    </row>
    <row r="266" spans="2:2">
      <c r="B266">
        <f t="shared" si="5"/>
        <v>265</v>
      </c>
    </row>
    <row r="267" spans="2:2">
      <c r="B267">
        <f t="shared" si="5"/>
        <v>266</v>
      </c>
    </row>
    <row r="268" spans="2:2">
      <c r="B268">
        <f t="shared" si="5"/>
        <v>267</v>
      </c>
    </row>
    <row r="269" spans="2:2">
      <c r="B269">
        <f t="shared" si="5"/>
        <v>268</v>
      </c>
    </row>
    <row r="270" spans="2:2">
      <c r="B270">
        <f t="shared" si="5"/>
        <v>269</v>
      </c>
    </row>
    <row r="271" spans="2:2">
      <c r="B271">
        <f t="shared" si="5"/>
        <v>270</v>
      </c>
    </row>
    <row r="272" spans="2:2">
      <c r="B272">
        <f t="shared" si="5"/>
        <v>271</v>
      </c>
    </row>
    <row r="273" spans="2:2">
      <c r="B273">
        <f t="shared" si="5"/>
        <v>272</v>
      </c>
    </row>
    <row r="274" spans="2:2">
      <c r="B274">
        <f t="shared" si="5"/>
        <v>273</v>
      </c>
    </row>
    <row r="275" spans="2:2">
      <c r="B275">
        <f t="shared" si="5"/>
        <v>274</v>
      </c>
    </row>
    <row r="276" spans="2:2">
      <c r="B276">
        <f t="shared" si="5"/>
        <v>275</v>
      </c>
    </row>
    <row r="277" spans="2:2">
      <c r="B277">
        <f t="shared" si="5"/>
        <v>276</v>
      </c>
    </row>
    <row r="278" spans="2:2">
      <c r="B278">
        <f t="shared" si="5"/>
        <v>277</v>
      </c>
    </row>
    <row r="279" spans="2:2">
      <c r="B279">
        <f t="shared" si="5"/>
        <v>278</v>
      </c>
    </row>
    <row r="280" spans="2:2">
      <c r="B280">
        <f t="shared" si="5"/>
        <v>279</v>
      </c>
    </row>
    <row r="281" spans="2:2">
      <c r="B281">
        <f t="shared" si="5"/>
        <v>280</v>
      </c>
    </row>
    <row r="282" spans="2:2">
      <c r="B282">
        <f t="shared" si="5"/>
        <v>281</v>
      </c>
    </row>
    <row r="283" spans="2:2">
      <c r="B283">
        <f t="shared" si="5"/>
        <v>282</v>
      </c>
    </row>
    <row r="284" spans="2:2">
      <c r="B284">
        <f t="shared" si="5"/>
        <v>283</v>
      </c>
    </row>
    <row r="285" spans="2:2">
      <c r="B285">
        <f t="shared" si="5"/>
        <v>284</v>
      </c>
    </row>
    <row r="286" spans="2:2">
      <c r="B286">
        <f t="shared" si="5"/>
        <v>285</v>
      </c>
    </row>
    <row r="287" spans="2:2">
      <c r="B287">
        <f t="shared" si="5"/>
        <v>286</v>
      </c>
    </row>
    <row r="288" spans="2:2">
      <c r="B288">
        <f t="shared" si="5"/>
        <v>287</v>
      </c>
    </row>
    <row r="289" spans="2:2">
      <c r="B289">
        <f t="shared" si="5"/>
        <v>288</v>
      </c>
    </row>
    <row r="290" spans="2:2">
      <c r="B290">
        <f t="shared" si="5"/>
        <v>289</v>
      </c>
    </row>
    <row r="291" spans="2:2">
      <c r="B291">
        <f t="shared" si="5"/>
        <v>290</v>
      </c>
    </row>
    <row r="292" spans="2:2">
      <c r="B292">
        <f t="shared" si="5"/>
        <v>291</v>
      </c>
    </row>
    <row r="293" spans="2:2">
      <c r="B293">
        <f t="shared" si="5"/>
        <v>292</v>
      </c>
    </row>
    <row r="294" spans="2:2">
      <c r="B294">
        <f t="shared" si="5"/>
        <v>293</v>
      </c>
    </row>
    <row r="295" spans="2:2">
      <c r="B295">
        <f t="shared" si="5"/>
        <v>294</v>
      </c>
    </row>
    <row r="296" spans="2:2">
      <c r="B296">
        <f t="shared" si="5"/>
        <v>295</v>
      </c>
    </row>
    <row r="297" spans="2:2">
      <c r="B297">
        <f t="shared" si="5"/>
        <v>296</v>
      </c>
    </row>
    <row r="298" spans="2:2">
      <c r="B298">
        <f t="shared" si="5"/>
        <v>297</v>
      </c>
    </row>
    <row r="299" spans="2:2">
      <c r="B299">
        <f t="shared" si="5"/>
        <v>298</v>
      </c>
    </row>
    <row r="300" spans="2:2">
      <c r="B300">
        <f t="shared" si="5"/>
        <v>299</v>
      </c>
    </row>
    <row r="301" spans="2:2">
      <c r="B301">
        <f t="shared" si="5"/>
        <v>300</v>
      </c>
    </row>
    <row r="302" spans="2:2">
      <c r="B302">
        <f t="shared" si="5"/>
        <v>301</v>
      </c>
    </row>
    <row r="303" spans="2:2">
      <c r="B303">
        <f t="shared" si="5"/>
        <v>302</v>
      </c>
    </row>
    <row r="304" spans="2:2">
      <c r="B304">
        <f t="shared" si="5"/>
        <v>303</v>
      </c>
    </row>
    <row r="305" spans="2:2">
      <c r="B305">
        <f t="shared" si="5"/>
        <v>304</v>
      </c>
    </row>
    <row r="306" spans="2:2">
      <c r="B306">
        <f t="shared" si="5"/>
        <v>305</v>
      </c>
    </row>
    <row r="307" spans="2:2">
      <c r="B307">
        <f t="shared" si="5"/>
        <v>306</v>
      </c>
    </row>
    <row r="308" spans="2:2">
      <c r="B308">
        <f t="shared" si="5"/>
        <v>307</v>
      </c>
    </row>
    <row r="309" spans="2:2">
      <c r="B309">
        <f t="shared" si="5"/>
        <v>308</v>
      </c>
    </row>
    <row r="310" spans="2:2">
      <c r="B310">
        <f t="shared" si="5"/>
        <v>309</v>
      </c>
    </row>
    <row r="311" spans="2:2">
      <c r="B311">
        <f t="shared" si="5"/>
        <v>310</v>
      </c>
    </row>
    <row r="312" spans="2:2">
      <c r="B312">
        <f t="shared" si="5"/>
        <v>311</v>
      </c>
    </row>
    <row r="313" spans="2:2">
      <c r="B313">
        <f t="shared" si="5"/>
        <v>312</v>
      </c>
    </row>
    <row r="314" spans="2:2">
      <c r="B314">
        <f t="shared" si="5"/>
        <v>313</v>
      </c>
    </row>
    <row r="315" spans="2:2">
      <c r="B315">
        <f t="shared" si="5"/>
        <v>314</v>
      </c>
    </row>
    <row r="316" spans="2:2">
      <c r="B316">
        <f t="shared" si="5"/>
        <v>315</v>
      </c>
    </row>
    <row r="317" spans="2:2">
      <c r="B317">
        <f t="shared" si="5"/>
        <v>316</v>
      </c>
    </row>
    <row r="318" spans="2:2">
      <c r="B318">
        <f t="shared" si="5"/>
        <v>317</v>
      </c>
    </row>
    <row r="319" spans="2:2">
      <c r="B319">
        <f t="shared" si="5"/>
        <v>318</v>
      </c>
    </row>
    <row r="320" spans="2:2">
      <c r="B320">
        <f t="shared" si="5"/>
        <v>319</v>
      </c>
    </row>
    <row r="321" spans="2:2">
      <c r="B321">
        <f t="shared" si="5"/>
        <v>320</v>
      </c>
    </row>
    <row r="322" spans="2:2">
      <c r="B322">
        <f t="shared" si="5"/>
        <v>321</v>
      </c>
    </row>
    <row r="323" spans="2:2">
      <c r="B323">
        <f t="shared" si="5"/>
        <v>322</v>
      </c>
    </row>
    <row r="324" spans="2:2">
      <c r="B324">
        <f t="shared" ref="B324:B347" si="6">B323+1</f>
        <v>323</v>
      </c>
    </row>
    <row r="325" spans="2:2">
      <c r="B325">
        <f t="shared" si="6"/>
        <v>324</v>
      </c>
    </row>
    <row r="326" spans="2:2">
      <c r="B326">
        <f t="shared" si="6"/>
        <v>325</v>
      </c>
    </row>
    <row r="327" spans="2:2">
      <c r="B327">
        <f t="shared" si="6"/>
        <v>326</v>
      </c>
    </row>
    <row r="328" spans="2:2">
      <c r="B328">
        <f t="shared" si="6"/>
        <v>327</v>
      </c>
    </row>
    <row r="329" spans="2:2">
      <c r="B329">
        <f t="shared" si="6"/>
        <v>328</v>
      </c>
    </row>
    <row r="330" spans="2:2">
      <c r="B330">
        <f t="shared" si="6"/>
        <v>329</v>
      </c>
    </row>
    <row r="331" spans="2:2">
      <c r="B331">
        <f t="shared" si="6"/>
        <v>330</v>
      </c>
    </row>
    <row r="332" spans="2:2">
      <c r="B332">
        <f t="shared" si="6"/>
        <v>331</v>
      </c>
    </row>
    <row r="333" spans="2:2">
      <c r="B333">
        <f t="shared" si="6"/>
        <v>332</v>
      </c>
    </row>
    <row r="334" spans="2:2">
      <c r="B334">
        <f t="shared" si="6"/>
        <v>333</v>
      </c>
    </row>
    <row r="335" spans="2:2">
      <c r="B335">
        <f t="shared" si="6"/>
        <v>334</v>
      </c>
    </row>
    <row r="336" spans="2:2">
      <c r="B336">
        <f t="shared" si="6"/>
        <v>335</v>
      </c>
    </row>
    <row r="337" spans="2:2">
      <c r="B337">
        <f t="shared" si="6"/>
        <v>336</v>
      </c>
    </row>
    <row r="338" spans="2:2">
      <c r="B338">
        <f t="shared" si="6"/>
        <v>337</v>
      </c>
    </row>
    <row r="339" spans="2:2">
      <c r="B339">
        <f t="shared" si="6"/>
        <v>338</v>
      </c>
    </row>
    <row r="340" spans="2:2">
      <c r="B340">
        <f t="shared" si="6"/>
        <v>339</v>
      </c>
    </row>
    <row r="341" spans="2:2">
      <c r="B341">
        <f t="shared" si="6"/>
        <v>340</v>
      </c>
    </row>
    <row r="342" spans="2:2">
      <c r="B342">
        <f t="shared" si="6"/>
        <v>341</v>
      </c>
    </row>
    <row r="343" spans="2:2">
      <c r="B343">
        <f t="shared" si="6"/>
        <v>342</v>
      </c>
    </row>
    <row r="344" spans="2:2">
      <c r="B344">
        <f t="shared" si="6"/>
        <v>343</v>
      </c>
    </row>
    <row r="345" spans="2:2">
      <c r="B345">
        <f t="shared" si="6"/>
        <v>344</v>
      </c>
    </row>
    <row r="346" spans="2:2">
      <c r="B346">
        <f t="shared" si="6"/>
        <v>345</v>
      </c>
    </row>
    <row r="347" spans="2:2">
      <c r="B347">
        <f t="shared" si="6"/>
        <v>346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0"/>
  <sheetViews>
    <sheetView workbookViewId="0">
      <selection activeCell="M29" sqref="M29"/>
    </sheetView>
  </sheetViews>
  <sheetFormatPr defaultRowHeight="12.75"/>
  <cols>
    <col min="1" max="1" width="2.28515625" customWidth="1"/>
    <col min="4" max="4" width="21.42578125" customWidth="1"/>
    <col min="6" max="6" width="10.85546875" customWidth="1"/>
    <col min="7" max="7" width="20" customWidth="1"/>
    <col min="9" max="9" width="10.28515625" bestFit="1" customWidth="1"/>
    <col min="10" max="10" width="14.28515625" customWidth="1"/>
    <col min="13" max="13" width="16.42578125" customWidth="1"/>
  </cols>
  <sheetData>
    <row r="5" spans="2:13">
      <c r="B5" s="423" t="s">
        <v>143</v>
      </c>
      <c r="D5" s="423" t="s">
        <v>148</v>
      </c>
      <c r="G5" s="423" t="s">
        <v>150</v>
      </c>
      <c r="J5" s="423" t="s">
        <v>151</v>
      </c>
      <c r="M5" s="423" t="s">
        <v>152</v>
      </c>
    </row>
    <row r="6" spans="2:13">
      <c r="B6" s="423" t="s">
        <v>142</v>
      </c>
      <c r="C6" s="36">
        <v>7800</v>
      </c>
      <c r="D6" s="36">
        <f>C6*776.5</f>
        <v>6056700</v>
      </c>
      <c r="F6" s="36">
        <v>1600</v>
      </c>
      <c r="G6" s="36">
        <f>F6*776.5</f>
        <v>1242400</v>
      </c>
      <c r="I6" s="36">
        <v>2667</v>
      </c>
      <c r="J6" s="36">
        <f>I6*776.5</f>
        <v>2070925.5</v>
      </c>
      <c r="L6" s="36">
        <v>6650</v>
      </c>
      <c r="M6" s="36">
        <f>L6*776.5</f>
        <v>5163725</v>
      </c>
    </row>
    <row r="7" spans="2:13">
      <c r="B7" s="423" t="s">
        <v>144</v>
      </c>
      <c r="C7" s="36">
        <v>3650</v>
      </c>
      <c r="D7" s="36">
        <f>C7*7380</f>
        <v>26937000</v>
      </c>
      <c r="F7" s="36">
        <v>1200</v>
      </c>
      <c r="G7" s="36">
        <f>F7*7380</f>
        <v>8856000</v>
      </c>
      <c r="I7" s="36">
        <v>2000</v>
      </c>
      <c r="J7" s="36">
        <f>I7*7380</f>
        <v>14760000</v>
      </c>
      <c r="L7" s="36">
        <v>3300</v>
      </c>
      <c r="M7" s="36">
        <f>L7*7380</f>
        <v>24354000</v>
      </c>
    </row>
    <row r="8" spans="2:13">
      <c r="B8" s="423" t="s">
        <v>145</v>
      </c>
      <c r="C8" s="36">
        <v>36</v>
      </c>
      <c r="D8" s="36">
        <f>C8*120500</f>
        <v>4338000</v>
      </c>
      <c r="F8" s="36">
        <v>49</v>
      </c>
      <c r="G8" s="36">
        <f>F8*120500</f>
        <v>5904500</v>
      </c>
      <c r="I8" s="36">
        <v>38</v>
      </c>
      <c r="J8" s="36">
        <f>I8*120500</f>
        <v>4579000</v>
      </c>
      <c r="L8" s="36">
        <v>42</v>
      </c>
      <c r="M8" s="36">
        <f>L8*120500</f>
        <v>5061000</v>
      </c>
    </row>
    <row r="9" spans="2:13">
      <c r="B9" s="423" t="s">
        <v>146</v>
      </c>
      <c r="C9" s="36">
        <v>86</v>
      </c>
      <c r="D9" s="36">
        <f>C9*8225</f>
        <v>707350</v>
      </c>
      <c r="F9" s="36">
        <v>47</v>
      </c>
      <c r="G9" s="36">
        <f>F9*8225</f>
        <v>386575</v>
      </c>
      <c r="I9" s="36">
        <v>8</v>
      </c>
      <c r="J9" s="36">
        <f>I9*8225</f>
        <v>65800</v>
      </c>
      <c r="L9" s="36">
        <v>0</v>
      </c>
      <c r="M9" s="36">
        <f>L9*8225</f>
        <v>0</v>
      </c>
    </row>
    <row r="10" spans="2:13">
      <c r="C10" s="36"/>
      <c r="D10" s="36">
        <f>SUM(D6:D9)</f>
        <v>38039050</v>
      </c>
      <c r="F10" s="36"/>
      <c r="G10" s="36">
        <f>SUM(G6:G9)</f>
        <v>16389475</v>
      </c>
      <c r="I10" s="36"/>
      <c r="J10" s="36">
        <f>SUM(J6:J9)</f>
        <v>21475725.5</v>
      </c>
      <c r="L10" s="36"/>
      <c r="M10" s="36">
        <f>SUM(M6:M9)</f>
        <v>34578725</v>
      </c>
    </row>
    <row r="11" spans="2:13">
      <c r="D11" s="35"/>
      <c r="G11" s="35"/>
    </row>
    <row r="12" spans="2:13">
      <c r="D12" s="35"/>
    </row>
    <row r="15" spans="2:13">
      <c r="B15" s="423" t="s">
        <v>147</v>
      </c>
      <c r="D15" s="423" t="s">
        <v>149</v>
      </c>
      <c r="F15" s="36"/>
      <c r="G15" s="423" t="s">
        <v>149</v>
      </c>
      <c r="J15" s="423" t="s">
        <v>153</v>
      </c>
      <c r="M15" s="423" t="s">
        <v>154</v>
      </c>
    </row>
    <row r="16" spans="2:13">
      <c r="B16" s="423" t="s">
        <v>142</v>
      </c>
      <c r="C16" s="36">
        <v>3703</v>
      </c>
      <c r="D16" s="36">
        <f>C16*'[2]MINGG MAR'!$U$140</f>
        <v>3111168.0249999999</v>
      </c>
      <c r="F16" s="36">
        <v>13703</v>
      </c>
      <c r="G16" s="36">
        <f>F16*'[2]MINGG MAR'!$U$140</f>
        <v>11512918.024999999</v>
      </c>
      <c r="I16" s="36">
        <v>15000</v>
      </c>
      <c r="J16" s="36">
        <f>I16*'[2]MINGG MAR'!$U$140</f>
        <v>12602625</v>
      </c>
      <c r="L16" s="36">
        <v>5000</v>
      </c>
      <c r="M16" s="36">
        <f>L16*'[2]MINGG MAR'!$U$140</f>
        <v>4200875</v>
      </c>
    </row>
    <row r="17" spans="2:13">
      <c r="B17" s="423" t="s">
        <v>144</v>
      </c>
      <c r="C17" s="36">
        <v>695</v>
      </c>
      <c r="D17" s="36">
        <f>C17*'[2]MINGG MAR'!$U$139</f>
        <v>7017415</v>
      </c>
      <c r="F17" s="36">
        <v>2322</v>
      </c>
      <c r="G17" s="36">
        <f>F17*'[2]MINGG MAR'!$U$139</f>
        <v>23445234</v>
      </c>
      <c r="I17" s="36">
        <v>3277</v>
      </c>
      <c r="J17" s="36">
        <f>I17*'[2]MINGG MAR'!$U$139</f>
        <v>33087869</v>
      </c>
      <c r="L17" s="36">
        <v>1650</v>
      </c>
      <c r="M17" s="36">
        <f>L17*'[2]MINGG MAR'!$U$139</f>
        <v>16660050</v>
      </c>
    </row>
    <row r="18" spans="2:13">
      <c r="B18" s="423" t="s">
        <v>145</v>
      </c>
      <c r="C18" s="36">
        <v>54</v>
      </c>
      <c r="D18" s="36">
        <f>C18*'[2]MINGG MAR'!$U$149</f>
        <v>6832350</v>
      </c>
      <c r="F18" s="36">
        <v>54</v>
      </c>
      <c r="G18" s="36">
        <f>F18*'[2]MINGG MAR'!$U$149</f>
        <v>6832350</v>
      </c>
      <c r="I18" s="36">
        <v>24</v>
      </c>
      <c r="J18" s="36">
        <f>I18*'[2]MINGG MAR'!$U$149</f>
        <v>3036600</v>
      </c>
      <c r="L18" s="36">
        <v>33</v>
      </c>
      <c r="M18" s="36">
        <f>L18*'[2]MINGG MAR'!$U$149</f>
        <v>4175325</v>
      </c>
    </row>
    <row r="19" spans="2:13">
      <c r="B19" s="423" t="s">
        <v>146</v>
      </c>
      <c r="D19" s="36">
        <f>C19*8225</f>
        <v>0</v>
      </c>
      <c r="G19" s="36">
        <f>F19*8225</f>
        <v>0</v>
      </c>
      <c r="I19" s="36">
        <v>98</v>
      </c>
      <c r="J19" s="36">
        <f>I19*8225</f>
        <v>806050</v>
      </c>
      <c r="L19" s="36">
        <v>47</v>
      </c>
      <c r="M19" s="36">
        <f>L19*8225</f>
        <v>386575</v>
      </c>
    </row>
    <row r="20" spans="2:13">
      <c r="D20" s="35">
        <f>SUM(D16:D19)</f>
        <v>16960933.024999999</v>
      </c>
      <c r="G20" s="35">
        <f>SUM(G16:G19)</f>
        <v>41790502.024999999</v>
      </c>
      <c r="J20" s="35">
        <f>SUM(J16:J19)</f>
        <v>49533144</v>
      </c>
      <c r="M20" s="35">
        <f>SUM(M16:M19)</f>
        <v>25422825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K95"/>
  <sheetViews>
    <sheetView view="pageBreakPreview" topLeftCell="C19" zoomScaleSheetLayoutView="100" workbookViewId="0">
      <selection activeCell="I19" sqref="I19"/>
    </sheetView>
  </sheetViews>
  <sheetFormatPr defaultRowHeight="12.75"/>
  <cols>
    <col min="1" max="1" width="1.140625" customWidth="1"/>
    <col min="2" max="2" width="5" customWidth="1"/>
    <col min="3" max="3" width="7" customWidth="1"/>
    <col min="4" max="4" width="46.7109375" style="1" customWidth="1"/>
    <col min="5" max="5" width="8.7109375" customWidth="1"/>
    <col min="6" max="6" width="10" customWidth="1"/>
    <col min="7" max="7" width="20.5703125" customWidth="1"/>
    <col min="8" max="9" width="20.7109375" customWidth="1"/>
    <col min="10" max="10" width="9.28515625" customWidth="1"/>
    <col min="11" max="11" width="8.5703125" hidden="1" customWidth="1"/>
    <col min="12" max="12" width="9.42578125" hidden="1" customWidth="1"/>
    <col min="13" max="13" width="10" hidden="1" customWidth="1"/>
    <col min="14" max="14" width="8.85546875" hidden="1" customWidth="1"/>
    <col min="15" max="15" width="15.7109375" hidden="1" customWidth="1"/>
    <col min="16" max="16" width="7.85546875" hidden="1" customWidth="1"/>
    <col min="17" max="17" width="10" hidden="1" customWidth="1"/>
    <col min="18" max="18" width="7.42578125" hidden="1" customWidth="1"/>
    <col min="19" max="20" width="7" hidden="1" customWidth="1"/>
    <col min="21" max="21" width="9.85546875" customWidth="1"/>
    <col min="22" max="22" width="9.5703125" customWidth="1"/>
    <col min="23" max="23" width="10.140625" customWidth="1"/>
    <col min="24" max="24" width="10.28515625" customWidth="1"/>
    <col min="25" max="25" width="0.7109375" customWidth="1"/>
    <col min="26" max="26" width="21.7109375" customWidth="1"/>
    <col min="27" max="27" width="14.140625" customWidth="1"/>
    <col min="28" max="28" width="21.85546875" customWidth="1"/>
    <col min="29" max="29" width="12.5703125" customWidth="1"/>
    <col min="30" max="30" width="21.7109375" customWidth="1"/>
    <col min="31" max="31" width="20.5703125" customWidth="1"/>
    <col min="32" max="32" width="17.85546875" customWidth="1"/>
    <col min="33" max="33" width="18.28515625" customWidth="1"/>
    <col min="34" max="34" width="19.28515625" customWidth="1"/>
    <col min="35" max="35" width="19.7109375" customWidth="1"/>
  </cols>
  <sheetData>
    <row r="1" spans="2:37" ht="7.5" customHeight="1">
      <c r="B1" s="17"/>
      <c r="C1" s="17"/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2:37" ht="22.5" customHeight="1">
      <c r="B2" s="537" t="s">
        <v>128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472"/>
      <c r="Z2" s="472"/>
      <c r="AA2" s="472"/>
      <c r="AB2" s="472"/>
      <c r="AC2" s="472"/>
      <c r="AD2" s="2"/>
      <c r="AE2" s="2"/>
      <c r="AF2" s="2"/>
      <c r="AG2" s="2"/>
    </row>
    <row r="3" spans="2:37" ht="19.5">
      <c r="B3" s="538" t="s">
        <v>92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465"/>
      <c r="Z3" s="465"/>
      <c r="AA3" s="465"/>
      <c r="AB3" s="465"/>
      <c r="AC3" s="465"/>
      <c r="AD3" s="3"/>
      <c r="AE3" s="3"/>
      <c r="AF3" s="3"/>
      <c r="AG3" s="3"/>
    </row>
    <row r="4" spans="2:37" ht="16.5" customHeight="1">
      <c r="B4" s="526" t="s">
        <v>126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466"/>
      <c r="Z4" s="466"/>
      <c r="AA4" s="466"/>
      <c r="AB4" s="466"/>
      <c r="AC4" s="466"/>
      <c r="AD4" s="4"/>
      <c r="AE4" s="4"/>
      <c r="AF4" s="4"/>
      <c r="AG4" s="4"/>
    </row>
    <row r="5" spans="2:37" ht="20.25" customHeight="1" thickBot="1">
      <c r="D5"/>
      <c r="F5" s="18"/>
      <c r="G5" s="18"/>
      <c r="H5" s="18"/>
      <c r="I5" s="17"/>
      <c r="R5" s="18"/>
      <c r="U5" s="211" t="s">
        <v>79</v>
      </c>
      <c r="V5" s="210" t="s">
        <v>80</v>
      </c>
      <c r="W5" s="222" t="s">
        <v>155</v>
      </c>
      <c r="X5" s="212"/>
      <c r="AD5" s="18"/>
    </row>
    <row r="6" spans="2:37" ht="31.9" customHeight="1">
      <c r="B6" s="539" t="s">
        <v>20</v>
      </c>
      <c r="C6" s="542" t="s">
        <v>9</v>
      </c>
      <c r="D6" s="542" t="s">
        <v>75</v>
      </c>
      <c r="E6" s="545" t="s">
        <v>67</v>
      </c>
      <c r="F6" s="546"/>
      <c r="G6" s="549" t="s">
        <v>86</v>
      </c>
      <c r="H6" s="550"/>
      <c r="I6" s="549" t="s">
        <v>46</v>
      </c>
      <c r="J6" s="551"/>
      <c r="K6" s="550"/>
      <c r="L6" s="549" t="s">
        <v>22</v>
      </c>
      <c r="M6" s="551"/>
      <c r="N6" s="550"/>
      <c r="O6" s="549" t="s">
        <v>24</v>
      </c>
      <c r="P6" s="550"/>
      <c r="Q6" s="552" t="s">
        <v>27</v>
      </c>
      <c r="R6" s="531" t="s">
        <v>23</v>
      </c>
      <c r="S6" s="532"/>
      <c r="T6" s="533"/>
      <c r="U6" s="555" t="s">
        <v>47</v>
      </c>
      <c r="V6" s="556"/>
      <c r="W6" s="557"/>
      <c r="X6" s="558" t="s">
        <v>78</v>
      </c>
      <c r="Z6" s="47"/>
      <c r="AA6" s="47"/>
      <c r="AB6" s="47"/>
      <c r="AC6" s="47"/>
    </row>
    <row r="7" spans="2:37" ht="24" customHeight="1">
      <c r="B7" s="540"/>
      <c r="C7" s="543"/>
      <c r="D7" s="543"/>
      <c r="E7" s="547"/>
      <c r="F7" s="548"/>
      <c r="G7" s="471" t="s">
        <v>129</v>
      </c>
      <c r="H7" s="470" t="s">
        <v>85</v>
      </c>
      <c r="I7" s="572" t="s">
        <v>51</v>
      </c>
      <c r="J7" s="574" t="s">
        <v>19</v>
      </c>
      <c r="K7" s="575"/>
      <c r="L7" s="564" t="s">
        <v>2</v>
      </c>
      <c r="M7" s="564" t="s">
        <v>3</v>
      </c>
      <c r="N7" s="564" t="s">
        <v>4</v>
      </c>
      <c r="O7" s="564" t="s">
        <v>25</v>
      </c>
      <c r="P7" s="564" t="s">
        <v>26</v>
      </c>
      <c r="Q7" s="553"/>
      <c r="R7" s="564" t="s">
        <v>2</v>
      </c>
      <c r="S7" s="564" t="s">
        <v>3</v>
      </c>
      <c r="T7" s="564" t="s">
        <v>4</v>
      </c>
      <c r="U7" s="564" t="s">
        <v>2</v>
      </c>
      <c r="V7" s="564" t="s">
        <v>3</v>
      </c>
      <c r="W7" s="564" t="s">
        <v>4</v>
      </c>
      <c r="X7" s="559"/>
      <c r="Z7" s="186"/>
      <c r="AA7" s="47"/>
      <c r="AB7" s="47"/>
      <c r="AC7" s="47"/>
    </row>
    <row r="8" spans="2:37" ht="24" customHeight="1">
      <c r="B8" s="541"/>
      <c r="C8" s="544"/>
      <c r="D8" s="544"/>
      <c r="E8" s="468" t="s">
        <v>68</v>
      </c>
      <c r="F8" s="149" t="s">
        <v>69</v>
      </c>
      <c r="G8" s="468" t="s">
        <v>83</v>
      </c>
      <c r="H8" s="467" t="s">
        <v>83</v>
      </c>
      <c r="I8" s="573"/>
      <c r="J8" s="547"/>
      <c r="K8" s="548"/>
      <c r="L8" s="544"/>
      <c r="M8" s="544"/>
      <c r="N8" s="544"/>
      <c r="O8" s="544"/>
      <c r="P8" s="544"/>
      <c r="Q8" s="554"/>
      <c r="R8" s="544"/>
      <c r="S8" s="544"/>
      <c r="T8" s="544"/>
      <c r="U8" s="544"/>
      <c r="V8" s="544"/>
      <c r="W8" s="544"/>
      <c r="X8" s="560"/>
      <c r="Z8" s="186">
        <f>H37</f>
        <v>73300000000</v>
      </c>
      <c r="AA8" s="47"/>
      <c r="AB8" s="47"/>
      <c r="AC8" s="47"/>
    </row>
    <row r="9" spans="2:37" ht="15" customHeight="1">
      <c r="B9" s="5">
        <v>1</v>
      </c>
      <c r="C9" s="245">
        <v>2</v>
      </c>
      <c r="D9" s="6">
        <v>3</v>
      </c>
      <c r="E9" s="6">
        <v>4</v>
      </c>
      <c r="F9" s="6">
        <v>5</v>
      </c>
      <c r="G9" s="276">
        <v>7</v>
      </c>
      <c r="H9" s="276">
        <v>6</v>
      </c>
      <c r="I9" s="6">
        <v>8</v>
      </c>
      <c r="J9" s="276">
        <v>9</v>
      </c>
      <c r="K9" s="276">
        <v>13</v>
      </c>
      <c r="L9" s="276">
        <v>10</v>
      </c>
      <c r="M9" s="276">
        <v>11</v>
      </c>
      <c r="N9" s="276">
        <v>12</v>
      </c>
      <c r="O9" s="276">
        <v>13</v>
      </c>
      <c r="P9" s="276">
        <v>14</v>
      </c>
      <c r="Q9" s="60">
        <v>15</v>
      </c>
      <c r="R9" s="276">
        <v>16</v>
      </c>
      <c r="S9" s="276">
        <v>17</v>
      </c>
      <c r="T9" s="276">
        <v>18</v>
      </c>
      <c r="U9" s="276">
        <v>10</v>
      </c>
      <c r="V9" s="276">
        <v>11</v>
      </c>
      <c r="W9" s="6">
        <v>12</v>
      </c>
      <c r="X9" s="139">
        <v>13</v>
      </c>
      <c r="Z9" s="38"/>
      <c r="AA9" s="38"/>
      <c r="AB9" s="38"/>
      <c r="AC9" s="38"/>
    </row>
    <row r="10" spans="2:37" ht="13.5" customHeight="1">
      <c r="B10" s="8"/>
      <c r="C10" s="27"/>
      <c r="D10" s="9"/>
      <c r="E10" s="10"/>
      <c r="F10" s="11"/>
      <c r="G10" s="32"/>
      <c r="H10" s="11"/>
      <c r="I10" s="11"/>
      <c r="J10" s="11"/>
      <c r="K10" s="11"/>
      <c r="L10" s="11"/>
      <c r="M10" s="11"/>
      <c r="N10" s="11"/>
      <c r="O10" s="11"/>
      <c r="P10" s="11"/>
      <c r="Q10" s="61"/>
      <c r="R10" s="11"/>
      <c r="S10" s="11"/>
      <c r="T10" s="11"/>
      <c r="U10" s="11"/>
      <c r="V10" s="11"/>
      <c r="W10" s="11"/>
      <c r="X10" s="12"/>
      <c r="Z10" s="39"/>
      <c r="AA10" s="39"/>
      <c r="AB10" s="39"/>
      <c r="AC10" s="39"/>
    </row>
    <row r="11" spans="2:37" ht="21" customHeight="1">
      <c r="B11" s="31" t="s">
        <v>14</v>
      </c>
      <c r="C11" s="19" t="s">
        <v>8</v>
      </c>
      <c r="D11" s="29"/>
      <c r="E11" s="66"/>
      <c r="F11" s="67"/>
      <c r="G11" s="66"/>
      <c r="H11" s="66"/>
      <c r="I11" s="66"/>
      <c r="J11" s="66"/>
      <c r="K11" s="66"/>
      <c r="L11" s="66"/>
      <c r="M11" s="66"/>
      <c r="N11" s="66"/>
      <c r="O11" s="66" t="e">
        <f>'Realisasi  (2)'!#REF!</f>
        <v>#REF!</v>
      </c>
      <c r="P11" s="66"/>
      <c r="Q11" s="68"/>
      <c r="R11" s="66"/>
      <c r="S11" s="66"/>
      <c r="T11" s="66"/>
      <c r="U11" s="66"/>
      <c r="V11" s="66"/>
      <c r="W11" s="66"/>
      <c r="X11" s="65"/>
      <c r="Z11" s="226">
        <f>H28</f>
        <v>69124000000</v>
      </c>
      <c r="AA11" s="227" t="s">
        <v>84</v>
      </c>
      <c r="AC11" s="40"/>
      <c r="AI11" s="225" t="s">
        <v>82</v>
      </c>
    </row>
    <row r="12" spans="2:37" ht="12" customHeight="1">
      <c r="B12" s="13"/>
      <c r="C12" s="28"/>
      <c r="D12" s="14"/>
      <c r="E12" s="15"/>
      <c r="F12" s="16"/>
      <c r="G12" s="33"/>
      <c r="H12" s="16"/>
      <c r="I12" s="16"/>
      <c r="J12" s="16"/>
      <c r="K12" s="16"/>
      <c r="L12" s="16"/>
      <c r="M12" s="16"/>
      <c r="N12" s="16"/>
      <c r="O12" s="16"/>
      <c r="P12" s="16"/>
      <c r="Q12" s="62"/>
      <c r="R12" s="16"/>
      <c r="S12" s="16"/>
      <c r="T12" s="16"/>
      <c r="U12" s="16"/>
      <c r="V12" s="16"/>
      <c r="W12" s="16"/>
      <c r="X12" s="25"/>
      <c r="Z12" s="561" t="s">
        <v>65</v>
      </c>
      <c r="AA12" s="561"/>
      <c r="AB12" s="561" t="s">
        <v>66</v>
      </c>
      <c r="AC12" s="561"/>
      <c r="AI12" s="223"/>
    </row>
    <row r="13" spans="2:37" ht="46.5" customHeight="1">
      <c r="B13" s="131">
        <v>1</v>
      </c>
      <c r="C13" s="30" t="str">
        <f>'Paket PRIM 2019'!C14</f>
        <v>P 6</v>
      </c>
      <c r="D13" s="30" t="str">
        <f>'Paket PRIM 2019'!D14</f>
        <v>Paket VI (Enam) Rehabilitasi/Pemeliharaan Berkala Ruas Jalan (022) Meninting - Midang, Rm + BMW 10 Ruas (DANA PRIM)</v>
      </c>
      <c r="E13" s="242">
        <f>'Paket PRIM 2019'!E16</f>
        <v>4.25</v>
      </c>
      <c r="F13" s="242">
        <f>'Paket PRIM 2019'!F16</f>
        <v>27.779</v>
      </c>
      <c r="G13" s="122">
        <f>'Paket PRIM 2019'!H14</f>
        <v>10207000000</v>
      </c>
      <c r="H13" s="122">
        <f>'Paket PRIM 2019'!I16</f>
        <v>10207000000</v>
      </c>
      <c r="I13" s="101">
        <f>'Real UM&amp;MC (per-bulan) '!S14</f>
        <v>8820696150</v>
      </c>
      <c r="J13" s="197">
        <f>I13/H13*100</f>
        <v>86.41810669148623</v>
      </c>
      <c r="K13" s="197" t="e">
        <f>#REF!/#REF!*100</f>
        <v>#REF!</v>
      </c>
      <c r="L13" s="198">
        <v>28.26</v>
      </c>
      <c r="M13" s="198">
        <v>27.82</v>
      </c>
      <c r="N13" s="198">
        <f t="shared" ref="N13:N16" si="0">M13-L13</f>
        <v>-0.44000000000000128</v>
      </c>
      <c r="O13" s="196" t="e">
        <f>#REF!-#REF!</f>
        <v>#REF!</v>
      </c>
      <c r="P13" s="199" t="e">
        <f>O13/#REF!*100</f>
        <v>#REF!</v>
      </c>
      <c r="Q13" s="199" t="e">
        <f t="shared" ref="Q13:Q16" si="1">O13/H13*100</f>
        <v>#REF!</v>
      </c>
      <c r="R13" s="200" t="e">
        <f>U13/#REF!*100</f>
        <v>#REF!</v>
      </c>
      <c r="S13" s="200" t="e">
        <f>V13/#REF!*100</f>
        <v>#REF!</v>
      </c>
      <c r="T13" s="200" t="e">
        <f>S13-R13</f>
        <v>#REF!</v>
      </c>
      <c r="U13" s="299">
        <v>94.847999999999999</v>
      </c>
      <c r="V13" s="299">
        <v>90.382000000000005</v>
      </c>
      <c r="W13" s="325">
        <f>V13-U13</f>
        <v>-4.465999999999994</v>
      </c>
      <c r="X13" s="201">
        <f>AC13</f>
        <v>13.346002459348416</v>
      </c>
      <c r="Y13" s="49"/>
      <c r="Z13" s="42">
        <f>(U13*H13)/100</f>
        <v>9681135360</v>
      </c>
      <c r="AA13" s="140">
        <f>Z13/$Z$11*100</f>
        <v>14.005461720965224</v>
      </c>
      <c r="AB13" s="42">
        <f>(V13*H13)/100</f>
        <v>9225290740</v>
      </c>
      <c r="AC13" s="140">
        <f>AB13/$Z$11*100</f>
        <v>13.346002459348416</v>
      </c>
      <c r="AD13" s="36">
        <f>G13*25/100</f>
        <v>2551750000</v>
      </c>
      <c r="AE13" s="36">
        <f>(AD13*0.2+AD13*0.05)</f>
        <v>637937500</v>
      </c>
      <c r="AF13" s="36">
        <f>AD13-AE13</f>
        <v>1913812500</v>
      </c>
      <c r="AG13" s="36">
        <v>5765433075</v>
      </c>
      <c r="AH13" s="35">
        <f>AG13+AF13</f>
        <v>7679245575</v>
      </c>
      <c r="AI13" s="224" t="e">
        <f>#REF!-G13</f>
        <v>#REF!</v>
      </c>
      <c r="AJ13" s="37"/>
      <c r="AK13" s="37"/>
    </row>
    <row r="14" spans="2:37" ht="19.5" hidden="1" customHeight="1">
      <c r="B14" s="48"/>
      <c r="C14" s="246"/>
      <c r="D14" s="30"/>
      <c r="E14" s="242"/>
      <c r="F14" s="243"/>
      <c r="G14" s="122"/>
      <c r="H14" s="122"/>
      <c r="I14" s="101"/>
      <c r="J14" s="318"/>
      <c r="K14" s="197"/>
      <c r="L14" s="203"/>
      <c r="M14" s="203"/>
      <c r="N14" s="203"/>
      <c r="O14" s="204"/>
      <c r="P14" s="205"/>
      <c r="Q14" s="205"/>
      <c r="R14" s="205"/>
      <c r="S14" s="205"/>
      <c r="T14" s="205"/>
      <c r="U14" s="297"/>
      <c r="V14" s="297"/>
      <c r="W14" s="239"/>
      <c r="X14" s="201"/>
      <c r="Y14" s="43"/>
      <c r="Z14" s="42">
        <f t="shared" ref="Z14:Z15" si="2">(U14*H14)/100</f>
        <v>0</v>
      </c>
      <c r="AA14" s="140">
        <f t="shared" ref="AA14:AA27" si="3">Z14/$Z$11*100</f>
        <v>0</v>
      </c>
      <c r="AB14" s="42">
        <f t="shared" ref="AB14:AB27" si="4">(V14*H14)/100</f>
        <v>0</v>
      </c>
      <c r="AC14" s="140">
        <f t="shared" ref="AC14:AC27" si="5">AB14/$Z$11*100</f>
        <v>0</v>
      </c>
      <c r="AD14" s="36">
        <f>G14*(V14-23)/100</f>
        <v>0</v>
      </c>
      <c r="AE14" s="36">
        <f>(AD14*0.2+AD14*0.05)</f>
        <v>0</v>
      </c>
      <c r="AF14" s="36">
        <f>AD14-AE14</f>
        <v>0</v>
      </c>
      <c r="AG14" s="36"/>
      <c r="AI14" s="224" t="e">
        <f>#REF!-G14</f>
        <v>#REF!</v>
      </c>
      <c r="AJ14" s="37"/>
      <c r="AK14" s="37"/>
    </row>
    <row r="15" spans="2:37" ht="10.5" customHeight="1">
      <c r="B15" s="48"/>
      <c r="C15" s="246"/>
      <c r="D15" s="30"/>
      <c r="E15" s="242"/>
      <c r="F15" s="242"/>
      <c r="G15" s="122"/>
      <c r="H15" s="122"/>
      <c r="I15" s="101"/>
      <c r="J15" s="318"/>
      <c r="K15" s="197"/>
      <c r="L15" s="203"/>
      <c r="M15" s="203"/>
      <c r="N15" s="203"/>
      <c r="O15" s="206"/>
      <c r="P15" s="205"/>
      <c r="Q15" s="205"/>
      <c r="R15" s="205"/>
      <c r="S15" s="205"/>
      <c r="T15" s="205"/>
      <c r="U15" s="298"/>
      <c r="V15" s="299"/>
      <c r="W15" s="239"/>
      <c r="X15" s="201"/>
      <c r="Y15" s="44"/>
      <c r="Z15" s="42">
        <f t="shared" si="2"/>
        <v>0</v>
      </c>
      <c r="AA15" s="140">
        <f t="shared" si="3"/>
        <v>0</v>
      </c>
      <c r="AB15" s="42">
        <f t="shared" si="4"/>
        <v>0</v>
      </c>
      <c r="AC15" s="140">
        <f t="shared" si="5"/>
        <v>0</v>
      </c>
      <c r="AD15" s="36">
        <f>G15*(V15-25)/100</f>
        <v>0</v>
      </c>
      <c r="AE15" s="36">
        <f t="shared" ref="AE15" si="6">(AD15*0.2+AD15*0.05)</f>
        <v>0</v>
      </c>
      <c r="AF15" s="36">
        <f t="shared" ref="AF15" si="7">AD15-AE15</f>
        <v>0</v>
      </c>
      <c r="AG15" s="36"/>
      <c r="AI15" s="224" t="e">
        <f>#REF!-G15</f>
        <v>#REF!</v>
      </c>
      <c r="AJ15" s="37"/>
      <c r="AK15" s="37"/>
    </row>
    <row r="16" spans="2:37" ht="49.5" customHeight="1">
      <c r="B16" s="123">
        <v>2</v>
      </c>
      <c r="C16" s="246" t="str">
        <f>'Paket PRIM 2019'!C18</f>
        <v>P 7</v>
      </c>
      <c r="D16" s="281" t="str">
        <f>'Paket PRIM 2019'!D18</f>
        <v>Paket VII (tujuh) Rehabilitasi/Pemeliharaan Berkala Ruas Jalan (042) Dasan Geres - Buntage, RM + BMW 8 Ruas (Dana PRIM)</v>
      </c>
      <c r="E16" s="242">
        <f>'Paket PRIM 2019'!E20</f>
        <v>6.4889999999999999</v>
      </c>
      <c r="F16" s="242">
        <f>'Paket PRIM 2019'!F20</f>
        <v>23.402999999999999</v>
      </c>
      <c r="G16" s="122">
        <f>'Paket PRIM 2019'!H18</f>
        <v>18072000000</v>
      </c>
      <c r="H16" s="122">
        <f>'Paket PRIM 2019'!I20</f>
        <v>18072000000</v>
      </c>
      <c r="I16" s="101">
        <f>'Real UM&amp;MC (per-bulan) '!S17</f>
        <v>16201530200</v>
      </c>
      <c r="J16" s="197">
        <f>I16/H16*100</f>
        <v>89.649901505090739</v>
      </c>
      <c r="K16" s="197" t="e">
        <f>#REF!/#REF!*100</f>
        <v>#REF!</v>
      </c>
      <c r="L16" s="207">
        <v>16.992999999999999</v>
      </c>
      <c r="M16" s="207">
        <v>5.593</v>
      </c>
      <c r="N16" s="207">
        <f t="shared" si="0"/>
        <v>-11.399999999999999</v>
      </c>
      <c r="O16" s="202" t="e">
        <f>#REF!-#REF!</f>
        <v>#REF!</v>
      </c>
      <c r="P16" s="208" t="e">
        <f>O16/#REF!*100</f>
        <v>#REF!</v>
      </c>
      <c r="Q16" s="208" t="e">
        <f t="shared" si="1"/>
        <v>#REF!</v>
      </c>
      <c r="R16" s="208" t="e">
        <f>U16/#REF!*100</f>
        <v>#REF!</v>
      </c>
      <c r="S16" s="208" t="e">
        <f>V16/#REF!*100</f>
        <v>#REF!</v>
      </c>
      <c r="T16" s="208" t="e">
        <f>S16-R16</f>
        <v>#REF!</v>
      </c>
      <c r="U16" s="299">
        <v>82.188000000000002</v>
      </c>
      <c r="V16" s="299">
        <v>94.162999999999997</v>
      </c>
      <c r="W16" s="325">
        <f>V16-U16</f>
        <v>11.974999999999994</v>
      </c>
      <c r="X16" s="201">
        <f t="shared" ref="X16" si="8">AC16</f>
        <v>24.618276372895089</v>
      </c>
      <c r="Y16" s="49"/>
      <c r="Z16" s="42">
        <f>(U16*H16)/100</f>
        <v>14853015360</v>
      </c>
      <c r="AA16" s="140">
        <f t="shared" si="3"/>
        <v>21.487494010763267</v>
      </c>
      <c r="AB16" s="42">
        <f t="shared" si="4"/>
        <v>17017137360</v>
      </c>
      <c r="AC16" s="140">
        <f t="shared" si="5"/>
        <v>24.618276372895089</v>
      </c>
      <c r="AD16" s="36">
        <f>G16*25/100</f>
        <v>4518000000</v>
      </c>
      <c r="AE16" s="36">
        <f>(AD16*0.2+AD16*0.05)</f>
        <v>1129500000</v>
      </c>
      <c r="AF16" s="36">
        <f>AD16-AE16</f>
        <v>3388500000</v>
      </c>
      <c r="AG16" s="36">
        <v>5765433075</v>
      </c>
      <c r="AH16" s="35">
        <f>AG16+AF16</f>
        <v>9153933075</v>
      </c>
      <c r="AI16" s="224" t="e">
        <f>#REF!-G16</f>
        <v>#REF!</v>
      </c>
      <c r="AJ16" s="37"/>
      <c r="AK16" s="37"/>
    </row>
    <row r="17" spans="2:37" ht="7.5" customHeight="1">
      <c r="B17" s="308"/>
      <c r="C17" s="246"/>
      <c r="D17" s="281"/>
      <c r="E17" s="242"/>
      <c r="F17" s="242"/>
      <c r="G17" s="122"/>
      <c r="H17" s="122"/>
      <c r="I17" s="101"/>
      <c r="J17" s="318"/>
      <c r="K17" s="197"/>
      <c r="L17" s="309"/>
      <c r="M17" s="309"/>
      <c r="N17" s="309"/>
      <c r="O17" s="310"/>
      <c r="P17" s="311"/>
      <c r="Q17" s="311"/>
      <c r="R17" s="311"/>
      <c r="S17" s="311"/>
      <c r="T17" s="311"/>
      <c r="U17" s="305"/>
      <c r="V17" s="299"/>
      <c r="W17" s="240"/>
      <c r="X17" s="201"/>
      <c r="Y17" s="49"/>
      <c r="Z17" s="42">
        <f t="shared" ref="Z17:Z27" si="9">(U17*H17)/100</f>
        <v>0</v>
      </c>
      <c r="AA17" s="140">
        <f t="shared" si="3"/>
        <v>0</v>
      </c>
      <c r="AB17" s="42">
        <f t="shared" si="4"/>
        <v>0</v>
      </c>
      <c r="AC17" s="140">
        <f t="shared" si="5"/>
        <v>0</v>
      </c>
      <c r="AD17" s="36">
        <f>G17*(V17-23)/100</f>
        <v>0</v>
      </c>
      <c r="AE17" s="36">
        <f>(AD17*0.2+AD17*0.05)</f>
        <v>0</v>
      </c>
      <c r="AF17" s="36">
        <f>AD17-AE17</f>
        <v>0</v>
      </c>
      <c r="AG17" s="36"/>
      <c r="AI17" s="224" t="e">
        <f>#REF!-G17</f>
        <v>#REF!</v>
      </c>
      <c r="AJ17" s="37"/>
      <c r="AK17" s="37"/>
    </row>
    <row r="18" spans="2:37" ht="8.25" customHeight="1">
      <c r="B18" s="308"/>
      <c r="C18" s="246"/>
      <c r="D18" s="281"/>
      <c r="E18" s="242"/>
      <c r="F18" s="242"/>
      <c r="G18" s="122"/>
      <c r="H18" s="122"/>
      <c r="I18" s="101"/>
      <c r="J18" s="318"/>
      <c r="K18" s="197"/>
      <c r="L18" s="309"/>
      <c r="M18" s="309"/>
      <c r="N18" s="309"/>
      <c r="O18" s="310"/>
      <c r="P18" s="311"/>
      <c r="Q18" s="311"/>
      <c r="R18" s="311"/>
      <c r="S18" s="311"/>
      <c r="T18" s="311"/>
      <c r="U18" s="305"/>
      <c r="V18" s="299"/>
      <c r="W18" s="240"/>
      <c r="X18" s="201"/>
      <c r="Y18" s="49"/>
      <c r="Z18" s="42">
        <f t="shared" si="9"/>
        <v>0</v>
      </c>
      <c r="AA18" s="140">
        <f t="shared" si="3"/>
        <v>0</v>
      </c>
      <c r="AB18" s="42">
        <f t="shared" si="4"/>
        <v>0</v>
      </c>
      <c r="AC18" s="140">
        <f t="shared" si="5"/>
        <v>0</v>
      </c>
      <c r="AD18" s="36">
        <f>G18*(V18-25)/100</f>
        <v>0</v>
      </c>
      <c r="AE18" s="36">
        <f t="shared" ref="AE18" si="10">(AD18*0.2+AD18*0.05)</f>
        <v>0</v>
      </c>
      <c r="AF18" s="36">
        <f t="shared" ref="AF18" si="11">AD18-AE18</f>
        <v>0</v>
      </c>
      <c r="AG18" s="36"/>
      <c r="AI18" s="224" t="e">
        <f>#REF!-G18</f>
        <v>#REF!</v>
      </c>
      <c r="AJ18" s="37"/>
      <c r="AK18" s="37"/>
    </row>
    <row r="19" spans="2:37" ht="46.9" customHeight="1">
      <c r="B19" s="123">
        <v>3</v>
      </c>
      <c r="C19" s="246" t="str">
        <f>'Paket PRIM 2019'!C22</f>
        <v>P 8</v>
      </c>
      <c r="D19" s="281" t="str">
        <f>'Paket PRIM 2019'!D22</f>
        <v>Paket VIII (delapan) Rehabilitasi/Pemeliharaan Berkala Ruas Jalan (026) Dasan Tereng - Sembung, RM + BMW 5 Ruas (Dana PRIM)</v>
      </c>
      <c r="E19" s="242">
        <f>'Paket PRIM 2019'!E24</f>
        <v>3.1909999999999998</v>
      </c>
      <c r="F19" s="242">
        <f>'Paket PRIM 2019'!F24</f>
        <v>23.616</v>
      </c>
      <c r="G19" s="122">
        <f>'Paket PRIM 2019'!H22</f>
        <v>12057100000</v>
      </c>
      <c r="H19" s="122">
        <f>'Paket PRIM 2019'!I24</f>
        <v>12057100000</v>
      </c>
      <c r="I19" s="101">
        <f>'Real UM&amp;MC (per-bulan) '!S20</f>
        <v>12057100000</v>
      </c>
      <c r="J19" s="197">
        <f>I19/H19*100</f>
        <v>100</v>
      </c>
      <c r="K19" s="197" t="e">
        <f>#REF!/#REF!*100</f>
        <v>#REF!</v>
      </c>
      <c r="L19" s="207">
        <v>16.992999999999999</v>
      </c>
      <c r="M19" s="207">
        <v>5.593</v>
      </c>
      <c r="N19" s="207">
        <f t="shared" ref="N19" si="12">M19-L19</f>
        <v>-11.399999999999999</v>
      </c>
      <c r="O19" s="202" t="e">
        <f>#REF!-#REF!</f>
        <v>#REF!</v>
      </c>
      <c r="P19" s="208" t="e">
        <f>O19/#REF!*100</f>
        <v>#REF!</v>
      </c>
      <c r="Q19" s="208" t="e">
        <f t="shared" ref="Q19" si="13">O19/H19*100</f>
        <v>#REF!</v>
      </c>
      <c r="R19" s="208" t="e">
        <f>U19/#REF!*100</f>
        <v>#REF!</v>
      </c>
      <c r="S19" s="208" t="e">
        <f>V19/#REF!*100</f>
        <v>#REF!</v>
      </c>
      <c r="T19" s="208" t="e">
        <f>S19-R19</f>
        <v>#REF!</v>
      </c>
      <c r="U19" s="299">
        <v>96.218999999999994</v>
      </c>
      <c r="V19" s="299">
        <v>94.777000000000001</v>
      </c>
      <c r="W19" s="325">
        <f>V19-U19</f>
        <v>-1.4419999999999931</v>
      </c>
      <c r="X19" s="201">
        <f t="shared" ref="X19" si="14">AC19</f>
        <v>16.531678819223426</v>
      </c>
      <c r="Y19" s="49"/>
      <c r="Z19" s="42">
        <f t="shared" si="9"/>
        <v>11601221049</v>
      </c>
      <c r="AA19" s="140">
        <f t="shared" si="3"/>
        <v>16.783202721196691</v>
      </c>
      <c r="AB19" s="42">
        <f t="shared" si="4"/>
        <v>11427357667</v>
      </c>
      <c r="AC19" s="140">
        <f t="shared" si="5"/>
        <v>16.531678819223426</v>
      </c>
      <c r="AD19" s="36">
        <f>G19*25/100</f>
        <v>3014275000</v>
      </c>
      <c r="AE19" s="36">
        <f>(AD19*0.2+AD19*0.05)</f>
        <v>753568750</v>
      </c>
      <c r="AF19" s="36">
        <f>AD19-AE19</f>
        <v>2260706250</v>
      </c>
      <c r="AG19" s="36">
        <v>5765433075</v>
      </c>
      <c r="AH19" s="35">
        <f>AG19+AF19</f>
        <v>8026139325</v>
      </c>
      <c r="AI19" s="224" t="e">
        <f>#REF!-G19</f>
        <v>#REF!</v>
      </c>
    </row>
    <row r="20" spans="2:37" ht="21" hidden="1" customHeight="1">
      <c r="B20" s="123"/>
      <c r="C20" s="312"/>
      <c r="D20" s="313"/>
      <c r="E20" s="314"/>
      <c r="F20" s="314"/>
      <c r="G20" s="122"/>
      <c r="H20" s="315"/>
      <c r="I20" s="316"/>
      <c r="J20" s="197"/>
      <c r="K20" s="197"/>
      <c r="L20" s="317"/>
      <c r="M20" s="317"/>
      <c r="N20" s="317"/>
      <c r="O20" s="196"/>
      <c r="P20" s="200"/>
      <c r="Q20" s="200"/>
      <c r="R20" s="200"/>
      <c r="S20" s="200"/>
      <c r="T20" s="200"/>
      <c r="U20" s="305"/>
      <c r="V20" s="299"/>
      <c r="W20" s="325"/>
      <c r="X20" s="201"/>
      <c r="Y20" s="49"/>
      <c r="Z20" s="42">
        <f t="shared" si="9"/>
        <v>0</v>
      </c>
      <c r="AA20" s="140">
        <f t="shared" si="3"/>
        <v>0</v>
      </c>
      <c r="AB20" s="42">
        <f t="shared" si="4"/>
        <v>0</v>
      </c>
      <c r="AC20" s="140">
        <f t="shared" si="5"/>
        <v>0</v>
      </c>
      <c r="AD20" s="36">
        <f>G20*(V20-23)/100</f>
        <v>0</v>
      </c>
      <c r="AE20" s="36">
        <f>(AD20*0.2+AD20*0.05)</f>
        <v>0</v>
      </c>
      <c r="AF20" s="36">
        <f>AD20-AE20</f>
        <v>0</v>
      </c>
      <c r="AG20" s="36"/>
      <c r="AI20" s="224" t="e">
        <f>#REF!-G20</f>
        <v>#REF!</v>
      </c>
    </row>
    <row r="21" spans="2:37" ht="6.75" customHeight="1">
      <c r="B21" s="123"/>
      <c r="C21" s="312"/>
      <c r="D21" s="313"/>
      <c r="E21" s="314"/>
      <c r="F21" s="314"/>
      <c r="G21" s="122"/>
      <c r="H21" s="315"/>
      <c r="I21" s="316"/>
      <c r="J21" s="197"/>
      <c r="K21" s="197"/>
      <c r="L21" s="317"/>
      <c r="M21" s="317"/>
      <c r="N21" s="317"/>
      <c r="O21" s="196"/>
      <c r="P21" s="200"/>
      <c r="Q21" s="200"/>
      <c r="R21" s="200"/>
      <c r="S21" s="200"/>
      <c r="T21" s="200"/>
      <c r="U21" s="305"/>
      <c r="V21" s="299"/>
      <c r="W21" s="325"/>
      <c r="X21" s="201"/>
      <c r="Y21" s="49"/>
      <c r="Z21" s="42">
        <f t="shared" si="9"/>
        <v>0</v>
      </c>
      <c r="AA21" s="140">
        <f t="shared" si="3"/>
        <v>0</v>
      </c>
      <c r="AB21" s="42">
        <f t="shared" si="4"/>
        <v>0</v>
      </c>
      <c r="AC21" s="140">
        <f t="shared" si="5"/>
        <v>0</v>
      </c>
      <c r="AD21" s="36">
        <f>G21*(V21-25)/100</f>
        <v>0</v>
      </c>
      <c r="AE21" s="36">
        <f t="shared" ref="AE21" si="15">(AD21*0.2+AD21*0.05)</f>
        <v>0</v>
      </c>
      <c r="AF21" s="36">
        <f t="shared" ref="AF21" si="16">AD21-AE21</f>
        <v>0</v>
      </c>
      <c r="AG21" s="36"/>
      <c r="AI21" s="224" t="e">
        <f>#REF!-G21</f>
        <v>#REF!</v>
      </c>
    </row>
    <row r="22" spans="2:37" ht="46.9" customHeight="1">
      <c r="B22" s="123">
        <v>4</v>
      </c>
      <c r="C22" s="246" t="str">
        <f>'Paket PRIM 2019'!C26</f>
        <v>P9</v>
      </c>
      <c r="D22" s="281" t="str">
        <f>'Paket PRIM 2019'!D26</f>
        <v>Paket IX (sembilan) Rehabilitasi/Pemeliharaan Berkala Ruas Jalan (011) Gerung - Bantir, RM + BMW 5 Ruas (Dana PRIM)</v>
      </c>
      <c r="E22" s="242">
        <f>'Paket PRIM 2019'!E28</f>
        <v>3</v>
      </c>
      <c r="F22" s="242">
        <f>'Paket PRIM 2019'!F28</f>
        <v>31.6</v>
      </c>
      <c r="G22" s="122">
        <f>'Paket PRIM 2019'!H26</f>
        <v>9419900000</v>
      </c>
      <c r="H22" s="122">
        <f>'Paket PRIM 2019'!I28</f>
        <v>9419900000</v>
      </c>
      <c r="I22" s="101">
        <f>'Real UM&amp;MC (per-bulan) '!S23</f>
        <v>9419900000</v>
      </c>
      <c r="J22" s="197">
        <f>I22/H22*100</f>
        <v>100</v>
      </c>
      <c r="K22" s="197" t="e">
        <f>#REF!/#REF!*100</f>
        <v>#REF!</v>
      </c>
      <c r="L22" s="207">
        <v>16.992999999999999</v>
      </c>
      <c r="M22" s="207">
        <v>5.593</v>
      </c>
      <c r="N22" s="207">
        <f t="shared" ref="N22" si="17">M22-L22</f>
        <v>-11.399999999999999</v>
      </c>
      <c r="O22" s="202" t="e">
        <f>#REF!-#REF!</f>
        <v>#REF!</v>
      </c>
      <c r="P22" s="208" t="e">
        <f>O22/#REF!*100</f>
        <v>#REF!</v>
      </c>
      <c r="Q22" s="208" t="e">
        <f t="shared" ref="Q22" si="18">O22/H22*100</f>
        <v>#REF!</v>
      </c>
      <c r="R22" s="208" t="e">
        <f>U22/#REF!*100</f>
        <v>#REF!</v>
      </c>
      <c r="S22" s="208" t="e">
        <f>V22/#REF!*100</f>
        <v>#REF!</v>
      </c>
      <c r="T22" s="208" t="e">
        <f>S22-R22</f>
        <v>#REF!</v>
      </c>
      <c r="U22" s="299">
        <v>83.3</v>
      </c>
      <c r="V22" s="299">
        <v>90.8</v>
      </c>
      <c r="W22" s="325">
        <f>V22-U22</f>
        <v>7.5</v>
      </c>
      <c r="X22" s="201">
        <f t="shared" ref="X22" si="19">AC22</f>
        <v>12.373805335339389</v>
      </c>
      <c r="Y22" s="49"/>
      <c r="Z22" s="42">
        <f t="shared" si="9"/>
        <v>7846776700</v>
      </c>
      <c r="AA22" s="140">
        <f t="shared" si="3"/>
        <v>11.351739916671487</v>
      </c>
      <c r="AB22" s="42">
        <f t="shared" si="4"/>
        <v>8553269200</v>
      </c>
      <c r="AC22" s="140">
        <f t="shared" si="5"/>
        <v>12.373805335339389</v>
      </c>
      <c r="AD22" s="36">
        <f>G22*25/100</f>
        <v>2354975000</v>
      </c>
      <c r="AE22" s="36">
        <f>(AD22*0.2+AD22*0.05)</f>
        <v>588743750</v>
      </c>
      <c r="AF22" s="36">
        <f>AD22-AE22</f>
        <v>1766231250</v>
      </c>
      <c r="AG22" s="36">
        <v>5765433075</v>
      </c>
      <c r="AH22" s="35">
        <f>AG22+AF22</f>
        <v>7531664325</v>
      </c>
      <c r="AI22" s="224" t="e">
        <f>#REF!-G22</f>
        <v>#REF!</v>
      </c>
    </row>
    <row r="23" spans="2:37" ht="19.5" hidden="1" customHeight="1">
      <c r="B23" s="123"/>
      <c r="C23" s="312"/>
      <c r="D23" s="313"/>
      <c r="E23" s="314"/>
      <c r="F23" s="314"/>
      <c r="G23" s="122"/>
      <c r="H23" s="315"/>
      <c r="I23" s="316"/>
      <c r="J23" s="197"/>
      <c r="K23" s="197"/>
      <c r="L23" s="317"/>
      <c r="M23" s="317"/>
      <c r="N23" s="317"/>
      <c r="O23" s="196"/>
      <c r="P23" s="200"/>
      <c r="Q23" s="200"/>
      <c r="R23" s="200"/>
      <c r="S23" s="200"/>
      <c r="T23" s="200"/>
      <c r="U23" s="305"/>
      <c r="V23" s="299"/>
      <c r="W23" s="325"/>
      <c r="X23" s="201"/>
      <c r="Y23" s="49"/>
      <c r="Z23" s="42">
        <f t="shared" si="9"/>
        <v>0</v>
      </c>
      <c r="AA23" s="140">
        <f t="shared" si="3"/>
        <v>0</v>
      </c>
      <c r="AB23" s="42">
        <f t="shared" si="4"/>
        <v>0</v>
      </c>
      <c r="AC23" s="140">
        <f t="shared" si="5"/>
        <v>0</v>
      </c>
      <c r="AD23" s="36">
        <f>G23*(V23-23)/100</f>
        <v>0</v>
      </c>
      <c r="AE23" s="36">
        <f>(AD23*0.2+AD23*0.05)</f>
        <v>0</v>
      </c>
      <c r="AF23" s="36">
        <f>AD23-AE23</f>
        <v>0</v>
      </c>
      <c r="AG23" s="36"/>
      <c r="AI23" s="224" t="e">
        <f>#REF!-G23</f>
        <v>#REF!</v>
      </c>
    </row>
    <row r="24" spans="2:37" ht="18.75" customHeight="1">
      <c r="B24" s="123"/>
      <c r="C24" s="312"/>
      <c r="D24" s="313"/>
      <c r="E24" s="314"/>
      <c r="F24" s="314"/>
      <c r="G24" s="122"/>
      <c r="H24" s="315"/>
      <c r="I24" s="316"/>
      <c r="J24" s="197"/>
      <c r="K24" s="197"/>
      <c r="L24" s="317"/>
      <c r="M24" s="317"/>
      <c r="N24" s="317"/>
      <c r="O24" s="196"/>
      <c r="P24" s="200"/>
      <c r="Q24" s="200"/>
      <c r="R24" s="200"/>
      <c r="S24" s="200"/>
      <c r="T24" s="200"/>
      <c r="U24" s="305"/>
      <c r="V24" s="299"/>
      <c r="W24" s="325"/>
      <c r="X24" s="201"/>
      <c r="Y24" s="49"/>
      <c r="Z24" s="42">
        <f t="shared" si="9"/>
        <v>0</v>
      </c>
      <c r="AA24" s="140">
        <f t="shared" si="3"/>
        <v>0</v>
      </c>
      <c r="AB24" s="42">
        <f t="shared" si="4"/>
        <v>0</v>
      </c>
      <c r="AC24" s="140">
        <f t="shared" si="5"/>
        <v>0</v>
      </c>
      <c r="AD24" s="36">
        <f>G24*(V24-25)/100</f>
        <v>0</v>
      </c>
      <c r="AE24" s="36">
        <f t="shared" ref="AE24" si="20">(AD24*0.2+AD24*0.05)</f>
        <v>0</v>
      </c>
      <c r="AF24" s="36">
        <f t="shared" ref="AF24" si="21">AD24-AE24</f>
        <v>0</v>
      </c>
      <c r="AG24" s="36"/>
      <c r="AI24" s="224" t="e">
        <f>#REF!-G24</f>
        <v>#REF!</v>
      </c>
    </row>
    <row r="25" spans="2:37" ht="46.9" customHeight="1">
      <c r="B25" s="123">
        <v>5</v>
      </c>
      <c r="C25" s="246" t="str">
        <f>'Paket PRIM 2019'!C30</f>
        <v>P 10</v>
      </c>
      <c r="D25" s="281" t="str">
        <f>'Paket PRIM 2019'!D30</f>
        <v>Paket X (sepuluh) Rehabilitasi/Pemeliharaan Berkala Ruas Jalan (057) Keru - Suranadi, RM + BMW 7 Ruas (Dana PRIM)</v>
      </c>
      <c r="E25" s="242">
        <f>'Paket PRIM 2019'!E32</f>
        <v>6.5069999999999997</v>
      </c>
      <c r="F25" s="242">
        <f>'Paket PRIM 2019'!F32</f>
        <v>16.931000000000001</v>
      </c>
      <c r="G25" s="122">
        <f>'Paket PRIM 2019'!H30</f>
        <v>19368000000</v>
      </c>
      <c r="H25" s="122">
        <f>'Paket PRIM 2019'!I32</f>
        <v>19368000000</v>
      </c>
      <c r="I25" s="101">
        <f>'Real UM&amp;MC (per-bulan) '!S26</f>
        <v>18213674550</v>
      </c>
      <c r="J25" s="197">
        <f>I25/H25*100</f>
        <v>94.040037949194542</v>
      </c>
      <c r="K25" s="197" t="e">
        <f>#REF!/#REF!*100</f>
        <v>#REF!</v>
      </c>
      <c r="L25" s="207">
        <v>16.992999999999999</v>
      </c>
      <c r="M25" s="207">
        <v>5.593</v>
      </c>
      <c r="N25" s="207">
        <f t="shared" ref="N25" si="22">M25-L25</f>
        <v>-11.399999999999999</v>
      </c>
      <c r="O25" s="202" t="e">
        <f>#REF!-#REF!</f>
        <v>#REF!</v>
      </c>
      <c r="P25" s="208" t="e">
        <f>O25/#REF!*100</f>
        <v>#REF!</v>
      </c>
      <c r="Q25" s="208" t="e">
        <f t="shared" ref="Q25" si="23">O25/H25*100</f>
        <v>#REF!</v>
      </c>
      <c r="R25" s="208" t="e">
        <f>U25/#REF!*100</f>
        <v>#REF!</v>
      </c>
      <c r="S25" s="208" t="e">
        <f>V25/#REF!*100</f>
        <v>#REF!</v>
      </c>
      <c r="T25" s="208" t="e">
        <f>S25-R25</f>
        <v>#REF!</v>
      </c>
      <c r="U25" s="299">
        <v>86.126000000000005</v>
      </c>
      <c r="V25" s="299">
        <v>92.055000000000007</v>
      </c>
      <c r="W25" s="325">
        <f>V25-U25</f>
        <v>5.929000000000002</v>
      </c>
      <c r="X25" s="201">
        <f t="shared" ref="X25" si="24">AC25</f>
        <v>25.793085469590888</v>
      </c>
      <c r="Y25" s="49"/>
      <c r="Z25" s="42">
        <f t="shared" si="9"/>
        <v>16680883680</v>
      </c>
      <c r="AA25" s="140">
        <f t="shared" si="3"/>
        <v>24.131826398935246</v>
      </c>
      <c r="AB25" s="42">
        <f t="shared" si="4"/>
        <v>17829212400.000004</v>
      </c>
      <c r="AC25" s="140">
        <f t="shared" si="5"/>
        <v>25.793085469590888</v>
      </c>
      <c r="AD25" s="36">
        <f>G25*25/100</f>
        <v>4842000000</v>
      </c>
      <c r="AE25" s="36">
        <f>(AD25*0.2+AD25*0.05)</f>
        <v>1210500000</v>
      </c>
      <c r="AF25" s="36">
        <f>AD25-AE25</f>
        <v>3631500000</v>
      </c>
      <c r="AG25" s="36">
        <v>5765433075</v>
      </c>
      <c r="AH25" s="35">
        <f>AG25+AF25</f>
        <v>9396933075</v>
      </c>
      <c r="AI25" s="224" t="e">
        <f>#REF!-G25</f>
        <v>#REF!</v>
      </c>
    </row>
    <row r="26" spans="2:37" ht="18.75" hidden="1" customHeight="1">
      <c r="B26" s="123"/>
      <c r="C26" s="312"/>
      <c r="D26" s="313"/>
      <c r="E26" s="314"/>
      <c r="F26" s="314"/>
      <c r="G26" s="122"/>
      <c r="H26" s="315"/>
      <c r="I26" s="316"/>
      <c r="J26" s="318"/>
      <c r="K26" s="197"/>
      <c r="L26" s="317"/>
      <c r="M26" s="317"/>
      <c r="N26" s="317"/>
      <c r="O26" s="196"/>
      <c r="P26" s="200"/>
      <c r="Q26" s="200"/>
      <c r="R26" s="200"/>
      <c r="S26" s="200"/>
      <c r="T26" s="200"/>
      <c r="U26" s="305"/>
      <c r="V26" s="299"/>
      <c r="W26" s="235"/>
      <c r="X26" s="201"/>
      <c r="Y26" s="49"/>
      <c r="Z26" s="42">
        <f t="shared" si="9"/>
        <v>0</v>
      </c>
      <c r="AA26" s="140">
        <f t="shared" si="3"/>
        <v>0</v>
      </c>
      <c r="AB26" s="42">
        <f t="shared" si="4"/>
        <v>0</v>
      </c>
      <c r="AC26" s="140">
        <f t="shared" si="5"/>
        <v>0</v>
      </c>
      <c r="AD26" s="36">
        <f>G26*(V26-23)/100</f>
        <v>0</v>
      </c>
      <c r="AE26" s="36">
        <f>(AD26*0.2+AD26*0.05)</f>
        <v>0</v>
      </c>
      <c r="AF26" s="36">
        <f>AD26-AE26</f>
        <v>0</v>
      </c>
      <c r="AG26" s="36"/>
      <c r="AI26" s="224" t="e">
        <f>#REF!-G26</f>
        <v>#REF!</v>
      </c>
    </row>
    <row r="27" spans="2:37" ht="13.5" customHeight="1">
      <c r="B27" s="123"/>
      <c r="C27" s="124"/>
      <c r="D27" s="109"/>
      <c r="E27" s="125"/>
      <c r="F27" s="125"/>
      <c r="G27" s="126"/>
      <c r="H27" s="177"/>
      <c r="I27" s="126"/>
      <c r="J27" s="319"/>
      <c r="K27" s="121"/>
      <c r="L27" s="126"/>
      <c r="M27" s="126"/>
      <c r="N27" s="126"/>
      <c r="O27" s="126"/>
      <c r="P27" s="127"/>
      <c r="Q27" s="132"/>
      <c r="R27" s="132" t="e">
        <f>U27/#REF!*100</f>
        <v>#REF!</v>
      </c>
      <c r="S27" s="132"/>
      <c r="T27" s="132"/>
      <c r="U27" s="150"/>
      <c r="V27" s="150"/>
      <c r="W27" s="150"/>
      <c r="X27" s="241"/>
      <c r="Y27" s="52"/>
      <c r="Z27" s="42">
        <f t="shared" si="9"/>
        <v>0</v>
      </c>
      <c r="AA27" s="140">
        <f t="shared" si="3"/>
        <v>0</v>
      </c>
      <c r="AB27" s="42">
        <f t="shared" si="4"/>
        <v>0</v>
      </c>
      <c r="AC27" s="140">
        <f t="shared" si="5"/>
        <v>0</v>
      </c>
      <c r="AD27" s="36">
        <f>G27*(V27-25)/100</f>
        <v>0</v>
      </c>
      <c r="AE27" s="36">
        <f t="shared" ref="AE27" si="25">(AD27*0.2+AD27*0.05)</f>
        <v>0</v>
      </c>
      <c r="AF27" s="36">
        <f t="shared" ref="AF27" si="26">AD27-AE27</f>
        <v>0</v>
      </c>
      <c r="AG27" s="36"/>
      <c r="AI27" s="224" t="e">
        <f>#REF!-G27</f>
        <v>#REF!</v>
      </c>
    </row>
    <row r="28" spans="2:37" ht="26.25" customHeight="1">
      <c r="B28" s="172"/>
      <c r="C28" s="562" t="s">
        <v>13</v>
      </c>
      <c r="D28" s="563"/>
      <c r="E28" s="175">
        <f t="shared" ref="E28:I28" si="27">SUM(E13:E27)</f>
        <v>23.436999999999998</v>
      </c>
      <c r="F28" s="175">
        <f t="shared" si="27"/>
        <v>123.32899999999999</v>
      </c>
      <c r="G28" s="176">
        <f t="shared" si="27"/>
        <v>69124000000</v>
      </c>
      <c r="H28" s="176">
        <f t="shared" si="27"/>
        <v>69124000000</v>
      </c>
      <c r="I28" s="176">
        <f t="shared" si="27"/>
        <v>64712900900</v>
      </c>
      <c r="J28" s="329">
        <f>I28/H28*100</f>
        <v>93.618570829234415</v>
      </c>
      <c r="K28" s="330" t="e">
        <f>#REF!/#REF!*100</f>
        <v>#REF!</v>
      </c>
      <c r="L28" s="331">
        <f>SUM(L27:L27)/5</f>
        <v>0</v>
      </c>
      <c r="M28" s="331">
        <f>SUM(M27:M27)/5</f>
        <v>0</v>
      </c>
      <c r="N28" s="331">
        <f>M28-L28</f>
        <v>0</v>
      </c>
      <c r="O28" s="173">
        <f>SUM(O27:O27)</f>
        <v>0</v>
      </c>
      <c r="P28" s="174" t="e">
        <f>O28/#REF!*100</f>
        <v>#REF!</v>
      </c>
      <c r="Q28" s="332">
        <f>O28/H28*100</f>
        <v>0</v>
      </c>
      <c r="R28" s="174" t="e">
        <f>SUM(R11:R27)/11</f>
        <v>#REF!</v>
      </c>
      <c r="S28" s="174" t="e">
        <f>SUM(S11:S27)/11</f>
        <v>#REF!</v>
      </c>
      <c r="T28" s="174" t="e">
        <f t="shared" ref="T28" si="28">S28-R28</f>
        <v>#REF!</v>
      </c>
      <c r="U28" s="403">
        <f>AA28</f>
        <v>87.759724768531925</v>
      </c>
      <c r="V28" s="403">
        <f>AC28</f>
        <v>92.662848456397214</v>
      </c>
      <c r="W28" s="403">
        <f>V28-U28</f>
        <v>4.9031236878652891</v>
      </c>
      <c r="X28" s="404">
        <f>SUM(X13:X27)</f>
        <v>92.662848456397214</v>
      </c>
      <c r="Y28" s="51"/>
      <c r="Z28" s="469">
        <f>SUM(Z13:Z27)</f>
        <v>60663032149</v>
      </c>
      <c r="AA28" s="141">
        <f>SUM(AA13:AA27)</f>
        <v>87.759724768531925</v>
      </c>
      <c r="AB28" s="469">
        <f>SUM(AB13:AB27)</f>
        <v>64052267367</v>
      </c>
      <c r="AC28" s="141">
        <f>SUM(AC13:AC27)</f>
        <v>92.662848456397214</v>
      </c>
      <c r="AD28" s="141"/>
      <c r="AE28" s="141"/>
      <c r="AF28" s="141"/>
      <c r="AG28" s="141"/>
      <c r="AI28" s="1"/>
    </row>
    <row r="29" spans="2:37" ht="25.15" customHeight="1">
      <c r="B29" s="473" t="s">
        <v>15</v>
      </c>
      <c r="C29" s="69" t="s">
        <v>29</v>
      </c>
      <c r="D29" s="69"/>
      <c r="E29" s="70"/>
      <c r="F29" s="71"/>
      <c r="G29" s="70"/>
      <c r="H29" s="231"/>
      <c r="I29" s="23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191"/>
      <c r="Y29" s="51"/>
      <c r="Z29" s="469">
        <f>H33</f>
        <v>2876000000</v>
      </c>
      <c r="AA29" s="469"/>
      <c r="AB29" s="469"/>
      <c r="AC29" s="469"/>
      <c r="AD29" s="35"/>
    </row>
    <row r="30" spans="2:37" ht="23.25" customHeight="1">
      <c r="B30" s="399">
        <v>1</v>
      </c>
      <c r="C30" s="565" t="str">
        <f>'Real UM&amp;MC (per-bulan) '!C33</f>
        <v>E-KATALOG</v>
      </c>
      <c r="D30" s="566"/>
      <c r="E30" s="244">
        <v>0</v>
      </c>
      <c r="F30" s="411">
        <f>7.4+8.8+3.6+4+6.35+1.85+1.57</f>
        <v>33.570000000000007</v>
      </c>
      <c r="G30" s="413">
        <f>'Real UM&amp;MC (per-bulan) '!R33</f>
        <v>1546450600</v>
      </c>
      <c r="H30" s="413">
        <f>G30</f>
        <v>1546450600</v>
      </c>
      <c r="I30" s="305">
        <f>'Real UM&amp;MC (per-bulan) '!S33</f>
        <v>214994307.36000001</v>
      </c>
      <c r="J30" s="322">
        <f>I30/G30*100</f>
        <v>13.902436156706202</v>
      </c>
      <c r="K30" s="134"/>
      <c r="L30" s="133"/>
      <c r="M30" s="133"/>
      <c r="N30" s="133"/>
      <c r="O30" s="134"/>
      <c r="P30" s="134"/>
      <c r="Q30" s="135"/>
      <c r="R30" s="135"/>
      <c r="S30" s="135"/>
      <c r="T30" s="135"/>
      <c r="U30" s="299">
        <v>25.52</v>
      </c>
      <c r="V30" s="299">
        <v>29.401990369107164</v>
      </c>
      <c r="W30" s="322">
        <f>V30-U30</f>
        <v>3.8819903691071644</v>
      </c>
      <c r="X30" s="326">
        <f>AC30</f>
        <v>15.809709891342138</v>
      </c>
      <c r="Y30" s="51"/>
      <c r="Z30" s="42">
        <f>(U30*H30)/100</f>
        <v>394654193.12</v>
      </c>
      <c r="AA30" s="140">
        <f>Z30/$Z$29*100</f>
        <v>13.7223293852573</v>
      </c>
      <c r="AB30" s="42">
        <f>(V30*G30)/100</f>
        <v>454687256.4749999</v>
      </c>
      <c r="AC30" s="140">
        <f>AB30/$Z$29*100</f>
        <v>15.809709891342138</v>
      </c>
      <c r="AD30" s="36"/>
      <c r="AE30" s="36"/>
    </row>
    <row r="31" spans="2:37" ht="23.25" customHeight="1">
      <c r="B31" s="308"/>
      <c r="C31" s="391"/>
      <c r="D31" s="392"/>
      <c r="E31" s="393"/>
      <c r="F31" s="412"/>
      <c r="G31" s="414"/>
      <c r="H31" s="414"/>
      <c r="I31" s="305"/>
      <c r="J31" s="394"/>
      <c r="K31" s="395"/>
      <c r="L31" s="396"/>
      <c r="M31" s="396"/>
      <c r="N31" s="396"/>
      <c r="O31" s="395"/>
      <c r="P31" s="395"/>
      <c r="Q31" s="397"/>
      <c r="R31" s="397"/>
      <c r="S31" s="397"/>
      <c r="T31" s="397"/>
      <c r="U31" s="405"/>
      <c r="V31" s="406"/>
      <c r="W31" s="394"/>
      <c r="X31" s="398"/>
      <c r="Y31" s="51"/>
      <c r="Z31" s="42"/>
      <c r="AA31" s="140"/>
      <c r="AB31" s="42"/>
      <c r="AC31" s="140"/>
      <c r="AD31" s="36"/>
      <c r="AE31" s="36"/>
    </row>
    <row r="32" spans="2:37" ht="23.25" customHeight="1">
      <c r="B32" s="123">
        <v>2</v>
      </c>
      <c r="C32" s="565" t="str">
        <f>'Real UM&amp;MC (per-bulan) '!C35</f>
        <v>SWAKELOLA</v>
      </c>
      <c r="D32" s="566"/>
      <c r="E32" s="271"/>
      <c r="F32" s="189">
        <v>23.46</v>
      </c>
      <c r="G32" s="413">
        <f>'Real UM&amp;MC (per-bulan) '!R35</f>
        <v>1329549400</v>
      </c>
      <c r="H32" s="413">
        <f>G32</f>
        <v>1329549400</v>
      </c>
      <c r="I32" s="305">
        <f>'Real UM&amp;MC (per-bulan) '!S35</f>
        <v>1101265488.0999999</v>
      </c>
      <c r="J32" s="424">
        <f>I32/G32*100</f>
        <v>82.829978946250506</v>
      </c>
      <c r="K32" s="134"/>
      <c r="L32" s="133"/>
      <c r="M32" s="133"/>
      <c r="N32" s="133"/>
      <c r="O32" s="134"/>
      <c r="P32" s="134"/>
      <c r="Q32" s="135"/>
      <c r="R32" s="135"/>
      <c r="S32" s="135"/>
      <c r="T32" s="135"/>
      <c r="U32" s="299">
        <v>32.619999999999997</v>
      </c>
      <c r="V32" s="299">
        <v>81.998586075030119</v>
      </c>
      <c r="W32" s="322">
        <f>V32-U32</f>
        <v>49.378586075030121</v>
      </c>
      <c r="X32" s="326">
        <f>AC32</f>
        <v>37.907222154695638</v>
      </c>
      <c r="Y32" s="51"/>
      <c r="Z32" s="42">
        <f>(U32*H32)/100</f>
        <v>433699014.27999997</v>
      </c>
      <c r="AA32" s="140">
        <f>Z32/$Z$29*100</f>
        <v>15.07993790959666</v>
      </c>
      <c r="AB32" s="42">
        <f>(V32*G32)/100</f>
        <v>1090211709.1690464</v>
      </c>
      <c r="AC32" s="140">
        <f>AB32/$Z$29*100</f>
        <v>37.907222154695638</v>
      </c>
      <c r="AD32" s="36"/>
      <c r="AE32" s="36"/>
    </row>
    <row r="33" spans="2:34" ht="23.25" customHeight="1">
      <c r="B33" s="228"/>
      <c r="C33" s="567" t="s">
        <v>12</v>
      </c>
      <c r="D33" s="568"/>
      <c r="E33" s="136">
        <f t="shared" ref="E33:I33" si="29">SUM(E30:E32)</f>
        <v>0</v>
      </c>
      <c r="F33" s="181">
        <f t="shared" si="29"/>
        <v>57.030000000000008</v>
      </c>
      <c r="G33" s="415">
        <f t="shared" si="29"/>
        <v>2876000000</v>
      </c>
      <c r="H33" s="415">
        <f t="shared" si="29"/>
        <v>2876000000</v>
      </c>
      <c r="I33" s="416">
        <f t="shared" si="29"/>
        <v>1316259795.46</v>
      </c>
      <c r="J33" s="323">
        <f>I33/H33*100</f>
        <v>45.767030440194716</v>
      </c>
      <c r="K33" s="137">
        <f t="shared" ref="K33:T33" si="30">SUM(K30:K32)</f>
        <v>0</v>
      </c>
      <c r="L33" s="137">
        <f t="shared" si="30"/>
        <v>0</v>
      </c>
      <c r="M33" s="137">
        <f t="shared" si="30"/>
        <v>0</v>
      </c>
      <c r="N33" s="137">
        <f t="shared" si="30"/>
        <v>0</v>
      </c>
      <c r="O33" s="137">
        <f t="shared" si="30"/>
        <v>0</v>
      </c>
      <c r="P33" s="137">
        <f t="shared" si="30"/>
        <v>0</v>
      </c>
      <c r="Q33" s="137">
        <f t="shared" si="30"/>
        <v>0</v>
      </c>
      <c r="R33" s="137">
        <f t="shared" si="30"/>
        <v>0</v>
      </c>
      <c r="S33" s="137">
        <f t="shared" si="30"/>
        <v>0</v>
      </c>
      <c r="T33" s="137">
        <f t="shared" si="30"/>
        <v>0</v>
      </c>
      <c r="U33" s="323">
        <f>AA33</f>
        <v>28.802267294853962</v>
      </c>
      <c r="V33" s="464">
        <f>AC33</f>
        <v>53.716932046037776</v>
      </c>
      <c r="W33" s="323">
        <f>V33-U33</f>
        <v>24.914664751183814</v>
      </c>
      <c r="X33" s="327">
        <f>AC33</f>
        <v>53.716932046037776</v>
      </c>
      <c r="Y33" s="51"/>
      <c r="Z33" s="469">
        <f>SUM(Z30:Z32)</f>
        <v>828353207.39999998</v>
      </c>
      <c r="AA33" s="147">
        <f>SUM(AA30:AA32)</f>
        <v>28.802267294853962</v>
      </c>
      <c r="AB33" s="147">
        <f>SUM(AB30:AB32)</f>
        <v>1544898965.6440463</v>
      </c>
      <c r="AC33" s="141">
        <f>SUM(AC30:AC32)</f>
        <v>53.716932046037776</v>
      </c>
      <c r="AD33" s="35">
        <f>AB33/Z29*100</f>
        <v>53.716932046037769</v>
      </c>
    </row>
    <row r="34" spans="2:34" ht="23.25" customHeight="1">
      <c r="B34" s="478" t="s">
        <v>156</v>
      </c>
      <c r="C34" s="479" t="s">
        <v>29</v>
      </c>
      <c r="D34" s="479"/>
      <c r="E34" s="480"/>
      <c r="F34" s="481"/>
      <c r="G34" s="480"/>
      <c r="H34" s="482"/>
      <c r="I34" s="483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4"/>
      <c r="Y34" s="51"/>
      <c r="Z34" s="469"/>
      <c r="AA34" s="147"/>
      <c r="AB34" s="147"/>
      <c r="AC34" s="141"/>
      <c r="AD34" s="35"/>
    </row>
    <row r="35" spans="2:34" ht="23.25" customHeight="1">
      <c r="B35" s="485">
        <v>1</v>
      </c>
      <c r="C35" s="486" t="s">
        <v>157</v>
      </c>
      <c r="D35" s="486"/>
      <c r="E35" s="487"/>
      <c r="F35" s="488"/>
      <c r="G35" s="489">
        <v>1300000000</v>
      </c>
      <c r="H35" s="490">
        <f>G35</f>
        <v>1300000000</v>
      </c>
      <c r="I35" s="491">
        <f>633872059+40032000+199905000</f>
        <v>873809059</v>
      </c>
      <c r="J35" s="424">
        <f>I35/G35*100</f>
        <v>67.216081461538451</v>
      </c>
      <c r="K35" s="134"/>
      <c r="L35" s="133"/>
      <c r="M35" s="133"/>
      <c r="N35" s="133"/>
      <c r="O35" s="134"/>
      <c r="P35" s="134"/>
      <c r="Q35" s="135"/>
      <c r="R35" s="135"/>
      <c r="S35" s="135"/>
      <c r="T35" s="135"/>
      <c r="U35" s="299">
        <v>100</v>
      </c>
      <c r="V35" s="299">
        <v>100</v>
      </c>
      <c r="W35" s="322">
        <f>V35-U35</f>
        <v>0</v>
      </c>
      <c r="X35" s="326">
        <f>AC35</f>
        <v>45.201668984700973</v>
      </c>
      <c r="Y35" s="51"/>
      <c r="Z35" s="42">
        <f>(U35*H35)/100</f>
        <v>1300000000</v>
      </c>
      <c r="AA35" s="140">
        <f>Z35/$Z$29*100</f>
        <v>45.201668984700973</v>
      </c>
      <c r="AB35" s="42">
        <f>(V35*G35)/100</f>
        <v>1300000000</v>
      </c>
      <c r="AC35" s="140">
        <f>AB35/$Z$29*100</f>
        <v>45.201668984700973</v>
      </c>
      <c r="AD35" s="36"/>
      <c r="AE35" s="36"/>
    </row>
    <row r="36" spans="2:34" ht="23.25" customHeight="1">
      <c r="B36" s="474"/>
      <c r="C36" s="475"/>
      <c r="D36" s="476"/>
      <c r="E36" s="477">
        <f>SUM(E35)</f>
        <v>0</v>
      </c>
      <c r="F36" s="477">
        <f t="shared" ref="F36:X36" si="31">SUM(F35)</f>
        <v>0</v>
      </c>
      <c r="G36" s="477">
        <f t="shared" si="31"/>
        <v>1300000000</v>
      </c>
      <c r="H36" s="477">
        <f t="shared" si="31"/>
        <v>1300000000</v>
      </c>
      <c r="I36" s="477">
        <f t="shared" si="31"/>
        <v>873809059</v>
      </c>
      <c r="J36" s="477">
        <f t="shared" si="31"/>
        <v>67.216081461538451</v>
      </c>
      <c r="K36" s="477">
        <f t="shared" si="31"/>
        <v>0</v>
      </c>
      <c r="L36" s="477">
        <f t="shared" si="31"/>
        <v>0</v>
      </c>
      <c r="M36" s="477">
        <f t="shared" si="31"/>
        <v>0</v>
      </c>
      <c r="N36" s="477">
        <f t="shared" si="31"/>
        <v>0</v>
      </c>
      <c r="O36" s="477">
        <f t="shared" si="31"/>
        <v>0</v>
      </c>
      <c r="P36" s="477">
        <f t="shared" si="31"/>
        <v>0</v>
      </c>
      <c r="Q36" s="477">
        <f t="shared" si="31"/>
        <v>0</v>
      </c>
      <c r="R36" s="477">
        <f t="shared" si="31"/>
        <v>0</v>
      </c>
      <c r="S36" s="477">
        <f t="shared" si="31"/>
        <v>0</v>
      </c>
      <c r="T36" s="477">
        <f t="shared" si="31"/>
        <v>0</v>
      </c>
      <c r="U36" s="477">
        <f t="shared" si="31"/>
        <v>100</v>
      </c>
      <c r="V36" s="477">
        <f t="shared" si="31"/>
        <v>100</v>
      </c>
      <c r="W36" s="477">
        <f t="shared" si="31"/>
        <v>0</v>
      </c>
      <c r="X36" s="477">
        <f t="shared" si="31"/>
        <v>45.201668984700973</v>
      </c>
      <c r="Y36" s="51"/>
      <c r="Z36" s="469">
        <f>Z35</f>
        <v>1300000000</v>
      </c>
      <c r="AA36" s="492">
        <f t="shared" ref="AA36:AH36" si="32">AA35</f>
        <v>45.201668984700973</v>
      </c>
      <c r="AB36" s="492">
        <f t="shared" si="32"/>
        <v>1300000000</v>
      </c>
      <c r="AC36" s="492">
        <f t="shared" si="32"/>
        <v>45.201668984700973</v>
      </c>
      <c r="AD36" s="469">
        <f t="shared" si="32"/>
        <v>0</v>
      </c>
      <c r="AE36" s="469">
        <f t="shared" si="32"/>
        <v>0</v>
      </c>
      <c r="AF36" s="469">
        <f t="shared" si="32"/>
        <v>0</v>
      </c>
      <c r="AG36" s="469">
        <f t="shared" si="32"/>
        <v>0</v>
      </c>
      <c r="AH36" s="469">
        <f t="shared" si="32"/>
        <v>0</v>
      </c>
    </row>
    <row r="37" spans="2:34" ht="30.75" customHeight="1" thickBot="1">
      <c r="B37" s="138"/>
      <c r="C37" s="569" t="s">
        <v>81</v>
      </c>
      <c r="D37" s="570"/>
      <c r="E37" s="178">
        <f>E33+E28+E36</f>
        <v>23.436999999999998</v>
      </c>
      <c r="F37" s="178">
        <f t="shared" ref="F37:I37" si="33">F33+F28+F36</f>
        <v>180.35900000000001</v>
      </c>
      <c r="G37" s="178">
        <f t="shared" si="33"/>
        <v>73300000000</v>
      </c>
      <c r="H37" s="178">
        <f t="shared" si="33"/>
        <v>73300000000</v>
      </c>
      <c r="I37" s="178">
        <f t="shared" si="33"/>
        <v>66902969754.459999</v>
      </c>
      <c r="J37" s="324">
        <f>I37/H37*100</f>
        <v>91.272810033369709</v>
      </c>
      <c r="K37" s="180" t="e">
        <f t="shared" ref="K37:T37" si="34">K33+K28</f>
        <v>#REF!</v>
      </c>
      <c r="L37" s="180">
        <f t="shared" si="34"/>
        <v>0</v>
      </c>
      <c r="M37" s="180">
        <f t="shared" si="34"/>
        <v>0</v>
      </c>
      <c r="N37" s="180">
        <f t="shared" si="34"/>
        <v>0</v>
      </c>
      <c r="O37" s="180">
        <f t="shared" si="34"/>
        <v>0</v>
      </c>
      <c r="P37" s="180" t="e">
        <f t="shared" si="34"/>
        <v>#REF!</v>
      </c>
      <c r="Q37" s="180">
        <f t="shared" si="34"/>
        <v>0</v>
      </c>
      <c r="R37" s="180" t="e">
        <f t="shared" si="34"/>
        <v>#REF!</v>
      </c>
      <c r="S37" s="180" t="e">
        <f t="shared" si="34"/>
        <v>#REF!</v>
      </c>
      <c r="T37" s="180" t="e">
        <f t="shared" si="34"/>
        <v>#REF!</v>
      </c>
      <c r="U37" s="407">
        <f>AA37</f>
        <v>83.890020950068205</v>
      </c>
      <c r="V37" s="408">
        <f>AC37</f>
        <v>89.491359253266083</v>
      </c>
      <c r="W37" s="408">
        <f>V37-U37</f>
        <v>5.6013383031978776</v>
      </c>
      <c r="X37" s="328">
        <f>AC37</f>
        <v>89.491359253266083</v>
      </c>
      <c r="Y37" s="50"/>
      <c r="Z37" s="45">
        <f>Z33+Z28</f>
        <v>61491385356.400002</v>
      </c>
      <c r="AA37" s="142">
        <f>Z37/Z8*100</f>
        <v>83.890020950068205</v>
      </c>
      <c r="AB37" s="142">
        <f>AB33+AB28</f>
        <v>65597166332.644043</v>
      </c>
      <c r="AC37" s="142">
        <f>AB37/Z8*100</f>
        <v>89.491359253266083</v>
      </c>
      <c r="AD37" s="35">
        <f>AB37/Z29*100</f>
        <v>2280.8472299250361</v>
      </c>
    </row>
    <row r="38" spans="2:34" ht="19.899999999999999" customHeight="1">
      <c r="H38" s="35"/>
      <c r="I38" s="64"/>
      <c r="Q38" s="571"/>
      <c r="R38" s="571"/>
      <c r="S38" s="571"/>
      <c r="T38" s="571"/>
      <c r="U38" s="571"/>
      <c r="V38" s="571"/>
      <c r="W38" s="571"/>
      <c r="X38" s="571"/>
      <c r="Z38" s="187"/>
      <c r="AA38" s="188">
        <f>Z37/Z8*100</f>
        <v>83.890020950068205</v>
      </c>
      <c r="AB38" s="187"/>
      <c r="AC38" s="188">
        <f>AB37/Z8*100</f>
        <v>89.491359253266083</v>
      </c>
      <c r="AD38" s="187"/>
    </row>
    <row r="39" spans="2:34" ht="19.899999999999999" customHeight="1">
      <c r="G39" s="402"/>
      <c r="H39" s="35"/>
      <c r="I39" s="534" t="s">
        <v>104</v>
      </c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143"/>
      <c r="Z39" s="187"/>
      <c r="AA39" s="188"/>
      <c r="AB39" s="187"/>
      <c r="AC39" s="188"/>
      <c r="AD39" s="187"/>
    </row>
    <row r="40" spans="2:34" ht="19.899999999999999" customHeight="1">
      <c r="G40" s="36"/>
      <c r="H40" s="35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143"/>
      <c r="Z40" s="187"/>
      <c r="AA40" s="188"/>
      <c r="AB40" s="187"/>
      <c r="AC40" s="188"/>
      <c r="AD40" s="187"/>
    </row>
    <row r="41" spans="2:34" ht="19.899999999999999" customHeight="1">
      <c r="D41" s="428"/>
      <c r="E41" s="429"/>
      <c r="F41" s="429"/>
      <c r="G41" s="430"/>
      <c r="H41" s="35"/>
      <c r="I41" s="64"/>
      <c r="Q41" s="143"/>
      <c r="R41" s="143"/>
      <c r="S41" s="143"/>
      <c r="T41" s="143"/>
      <c r="U41" s="143"/>
      <c r="V41" s="143"/>
      <c r="W41" s="143"/>
      <c r="X41" s="143"/>
      <c r="Z41" s="187"/>
      <c r="AA41" s="188"/>
      <c r="AB41" s="187"/>
      <c r="AC41" s="188"/>
      <c r="AD41" s="187"/>
    </row>
    <row r="42" spans="2:34" ht="19.899999999999999" customHeight="1">
      <c r="D42" s="428">
        <v>1509658000</v>
      </c>
      <c r="E42" s="429"/>
      <c r="F42" s="429"/>
      <c r="G42" s="429">
        <v>26005000</v>
      </c>
      <c r="H42" s="35"/>
      <c r="I42" s="64"/>
      <c r="Q42" s="143"/>
      <c r="R42" s="143"/>
      <c r="S42" s="143"/>
      <c r="T42" s="143"/>
      <c r="U42" s="143"/>
      <c r="V42" s="143"/>
      <c r="W42" s="143"/>
      <c r="X42" s="143">
        <f>I37/H37*100</f>
        <v>91.272810033369709</v>
      </c>
      <c r="Z42" s="187"/>
      <c r="AA42" s="188"/>
      <c r="AB42" s="187"/>
      <c r="AC42" s="188"/>
      <c r="AD42" s="187"/>
    </row>
    <row r="43" spans="2:34" ht="19.899999999999999" customHeight="1">
      <c r="D43" s="428">
        <v>2720457000</v>
      </c>
      <c r="E43" s="429"/>
      <c r="F43" s="429"/>
      <c r="G43" s="429">
        <v>1483653000</v>
      </c>
      <c r="H43" s="35"/>
      <c r="I43" s="535" t="s">
        <v>105</v>
      </c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143"/>
      <c r="Z43" s="187"/>
      <c r="AA43" s="188"/>
      <c r="AB43" s="187"/>
      <c r="AC43" s="188"/>
      <c r="AD43" s="187"/>
    </row>
    <row r="44" spans="2:34" ht="19.899999999999999" customHeight="1">
      <c r="D44" s="428">
        <f>SUM(D41:D43)</f>
        <v>4230115000</v>
      </c>
      <c r="E44" s="429"/>
      <c r="F44" s="429"/>
      <c r="G44" s="429">
        <v>2720457000</v>
      </c>
      <c r="H44" s="35"/>
      <c r="I44" s="536" t="s">
        <v>106</v>
      </c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143"/>
      <c r="Z44" s="187"/>
      <c r="AA44" s="188"/>
      <c r="AB44" s="187"/>
      <c r="AC44" s="188"/>
      <c r="AD44" s="187"/>
    </row>
    <row r="45" spans="2:34" ht="19.899999999999999" customHeight="1">
      <c r="D45" s="428"/>
      <c r="E45" s="429"/>
      <c r="F45" s="429"/>
      <c r="G45" s="429">
        <f>SUM(G42:G44)</f>
        <v>4230115000</v>
      </c>
      <c r="H45" s="35"/>
      <c r="I45" s="64"/>
      <c r="Q45" s="143"/>
      <c r="R45" s="143"/>
      <c r="S45" s="143"/>
      <c r="T45" s="143"/>
      <c r="U45" s="143"/>
      <c r="V45" s="143"/>
      <c r="W45" s="143"/>
      <c r="X45" s="143"/>
      <c r="Z45" s="187"/>
      <c r="AA45" s="188"/>
      <c r="AB45" s="187"/>
      <c r="AC45" s="188"/>
      <c r="AD45" s="187"/>
    </row>
    <row r="46" spans="2:34" ht="19.899999999999999" customHeight="1">
      <c r="D46" s="431">
        <f>[1]GELOGOR!$F$61+[1]BELJAGA!$F$59</f>
        <v>1478708</v>
      </c>
      <c r="E46" s="429"/>
      <c r="F46" s="429"/>
      <c r="G46" s="429"/>
      <c r="H46" s="35"/>
      <c r="I46" s="64"/>
      <c r="Q46" s="143"/>
      <c r="R46" s="143"/>
      <c r="S46" s="143"/>
      <c r="T46" s="143"/>
      <c r="U46" s="143"/>
      <c r="V46" s="143"/>
      <c r="W46" s="143"/>
      <c r="X46" s="143"/>
      <c r="Z46" s="187"/>
      <c r="AA46" s="188"/>
      <c r="AB46" s="187"/>
      <c r="AC46" s="188"/>
      <c r="AD46" s="187"/>
    </row>
    <row r="47" spans="2:34" ht="19.899999999999999" customHeight="1">
      <c r="D47" s="432">
        <f>D46/G32*100</f>
        <v>0.11121873320389601</v>
      </c>
      <c r="E47" s="429"/>
      <c r="F47" s="429"/>
      <c r="G47" s="429"/>
      <c r="H47" s="35"/>
      <c r="I47" s="64"/>
      <c r="Q47" s="143"/>
      <c r="R47" s="143"/>
      <c r="S47" s="143"/>
      <c r="T47" s="143"/>
      <c r="U47" s="143"/>
      <c r="V47" s="143"/>
      <c r="W47" s="143"/>
      <c r="X47" s="143"/>
      <c r="Z47" s="187"/>
      <c r="AA47" s="188"/>
      <c r="AB47" s="187"/>
      <c r="AC47" s="188"/>
      <c r="AD47" s="187"/>
    </row>
    <row r="48" spans="2:34" ht="19.899999999999999" customHeight="1">
      <c r="D48" s="428"/>
      <c r="E48" s="429"/>
      <c r="F48" s="429"/>
      <c r="G48" s="429"/>
      <c r="H48" s="35"/>
      <c r="I48" s="64"/>
      <c r="Q48" s="143"/>
      <c r="R48" s="143"/>
      <c r="S48" s="143"/>
      <c r="T48" s="143"/>
      <c r="U48" s="143"/>
      <c r="V48" s="143"/>
      <c r="W48" s="143"/>
      <c r="X48" s="143"/>
      <c r="Z48" s="187"/>
      <c r="AA48" s="188"/>
      <c r="AB48" s="187"/>
      <c r="AC48" s="188"/>
      <c r="AD48" s="187"/>
    </row>
    <row r="49" spans="3:30" ht="19.899999999999999" customHeight="1">
      <c r="D49" s="428"/>
      <c r="E49" s="429"/>
      <c r="F49" s="429"/>
      <c r="G49" s="429"/>
      <c r="H49" s="35"/>
      <c r="I49" s="64"/>
      <c r="Q49" s="143"/>
      <c r="R49" s="143"/>
      <c r="S49" s="143"/>
      <c r="T49" s="143"/>
      <c r="U49" s="143"/>
      <c r="V49" s="143"/>
      <c r="W49" s="143"/>
      <c r="X49" s="143"/>
      <c r="Z49" s="187"/>
      <c r="AA49" s="188"/>
      <c r="AB49" s="187"/>
      <c r="AC49" s="188"/>
      <c r="AD49" s="187"/>
    </row>
    <row r="50" spans="3:30" ht="19.899999999999999" customHeight="1">
      <c r="D50" s="432">
        <f>[1]GELOGOR!$F$61+[1]BELJAGA!$F$65+[1]KBNTALO!$F$63</f>
        <v>109590734.82499999</v>
      </c>
      <c r="E50" s="429"/>
      <c r="F50" s="429"/>
      <c r="G50" s="429"/>
      <c r="H50" s="35"/>
      <c r="I50" s="64"/>
      <c r="Q50" s="143"/>
      <c r="R50" s="143"/>
      <c r="S50" s="143"/>
      <c r="T50" s="143"/>
      <c r="U50" s="143"/>
      <c r="V50" s="143"/>
      <c r="W50" s="143"/>
      <c r="X50" s="143"/>
      <c r="Z50" s="187"/>
      <c r="AA50" s="188"/>
      <c r="AB50" s="187"/>
      <c r="AC50" s="188"/>
      <c r="AD50" s="187"/>
    </row>
    <row r="51" spans="3:30" ht="19.899999999999999" customHeight="1">
      <c r="D51" s="432">
        <f>D50*0.1</f>
        <v>10959073.4825</v>
      </c>
      <c r="E51" s="429"/>
      <c r="F51" s="429"/>
      <c r="G51" s="429"/>
      <c r="H51" s="35"/>
      <c r="I51" s="64"/>
      <c r="Q51" s="143"/>
      <c r="R51" s="143"/>
      <c r="S51" s="143"/>
      <c r="T51" s="143"/>
      <c r="U51" s="143"/>
      <c r="V51" s="143"/>
      <c r="W51" s="143"/>
      <c r="X51" s="143"/>
      <c r="Z51" s="187"/>
      <c r="AA51" s="188"/>
      <c r="AB51" s="187"/>
      <c r="AC51" s="188"/>
      <c r="AD51" s="187"/>
    </row>
    <row r="52" spans="3:30" ht="19.899999999999999" customHeight="1">
      <c r="C52" s="303" t="s">
        <v>97</v>
      </c>
      <c r="D52" s="432">
        <f>SUM(D50:D51)</f>
        <v>120549808.30749999</v>
      </c>
      <c r="E52" s="429"/>
      <c r="F52" s="429"/>
      <c r="G52" s="429"/>
      <c r="H52" s="35"/>
      <c r="I52" s="64"/>
      <c r="Q52" s="143"/>
      <c r="R52" s="143"/>
      <c r="S52" s="143"/>
      <c r="T52" s="143"/>
      <c r="U52" s="143"/>
      <c r="V52" s="143"/>
      <c r="W52" s="143"/>
      <c r="X52" s="143"/>
      <c r="Z52" s="187"/>
      <c r="AA52" s="188"/>
      <c r="AB52" s="187"/>
      <c r="AC52" s="188"/>
      <c r="AD52" s="187"/>
    </row>
    <row r="53" spans="3:30" ht="19.899999999999999" customHeight="1">
      <c r="C53" s="304"/>
      <c r="D53" s="428">
        <f>D52/G32*100</f>
        <v>9.0669672226921385</v>
      </c>
      <c r="E53" s="429"/>
      <c r="F53" s="429"/>
      <c r="G53" s="429"/>
      <c r="H53" s="35"/>
      <c r="I53" s="64"/>
      <c r="Q53" s="143"/>
      <c r="R53" s="143"/>
      <c r="S53" s="143"/>
      <c r="T53" s="143"/>
      <c r="U53" s="143"/>
      <c r="V53" s="143"/>
      <c r="W53" s="143"/>
      <c r="X53" s="143"/>
      <c r="Z53" s="187"/>
      <c r="AA53" s="188"/>
      <c r="AB53" s="187"/>
      <c r="AC53" s="188"/>
      <c r="AD53" s="187"/>
    </row>
    <row r="54" spans="3:30" ht="19.899999999999999" customHeight="1">
      <c r="C54" s="304"/>
      <c r="H54" s="35"/>
      <c r="I54" s="64"/>
      <c r="Q54" s="143"/>
      <c r="R54" s="143"/>
      <c r="S54" s="143"/>
      <c r="T54" s="143"/>
      <c r="U54" s="143"/>
      <c r="V54" s="143"/>
      <c r="W54" s="143"/>
      <c r="X54" s="143"/>
      <c r="Z54" s="187"/>
      <c r="AA54" s="188"/>
      <c r="AB54" s="187"/>
      <c r="AC54" s="188"/>
      <c r="AD54" s="187"/>
    </row>
    <row r="55" spans="3:30">
      <c r="H55" s="64"/>
      <c r="I55" s="35">
        <v>35431503316</v>
      </c>
    </row>
    <row r="56" spans="3:30" ht="21" customHeight="1">
      <c r="D56" s="333" t="s">
        <v>100</v>
      </c>
      <c r="G56" s="64"/>
      <c r="H56" s="148"/>
      <c r="I56" s="64">
        <v>4336653976</v>
      </c>
      <c r="K56" s="26"/>
      <c r="O56" s="63"/>
      <c r="V56">
        <v>90</v>
      </c>
      <c r="X56">
        <f>21.39/4</f>
        <v>5.3475000000000001</v>
      </c>
      <c r="AA56">
        <f>(Z33/Z29)*100</f>
        <v>28.802267294853962</v>
      </c>
    </row>
    <row r="57" spans="3:30">
      <c r="D57" s="333" t="s">
        <v>99</v>
      </c>
      <c r="G57" s="35"/>
      <c r="H57" s="148"/>
      <c r="I57" s="148">
        <f>I37+3000000000</f>
        <v>69902969754.459991</v>
      </c>
      <c r="X57">
        <f>X56*3</f>
        <v>16.0425</v>
      </c>
    </row>
    <row r="58" spans="3:30">
      <c r="D58" s="333" t="s">
        <v>98</v>
      </c>
      <c r="G58" s="35"/>
      <c r="H58" s="64"/>
      <c r="I58" s="148">
        <v>32913805176</v>
      </c>
      <c r="X58">
        <f>X57+17.26</f>
        <v>33.302500000000002</v>
      </c>
    </row>
    <row r="59" spans="3:30">
      <c r="G59" s="64"/>
      <c r="H59" s="35"/>
      <c r="I59" s="148"/>
    </row>
    <row r="60" spans="3:30" ht="14.25">
      <c r="G60" s="233"/>
      <c r="I60" s="176">
        <v>5351276300</v>
      </c>
    </row>
    <row r="61" spans="3:30">
      <c r="G61" s="35"/>
      <c r="H61" s="64"/>
    </row>
    <row r="62" spans="3:30">
      <c r="I62" s="275">
        <v>30080227016</v>
      </c>
    </row>
    <row r="63" spans="3:30" ht="14.25">
      <c r="H63" s="232"/>
      <c r="I63" s="148">
        <v>3000000000</v>
      </c>
    </row>
    <row r="65" spans="7:9">
      <c r="H65" s="158"/>
      <c r="I65" s="64">
        <f>SUM(I60:I63)</f>
        <v>38431503316</v>
      </c>
    </row>
    <row r="66" spans="7:9">
      <c r="H66" s="157"/>
      <c r="I66">
        <v>38431503316</v>
      </c>
    </row>
    <row r="67" spans="7:9">
      <c r="H67" s="64"/>
    </row>
    <row r="70" spans="7:9">
      <c r="I70" s="64">
        <f>G33-I33</f>
        <v>1559740204.54</v>
      </c>
    </row>
    <row r="72" spans="7:9">
      <c r="G72" s="64"/>
    </row>
    <row r="73" spans="7:9" ht="13.5" thickBot="1"/>
    <row r="74" spans="7:9" ht="15.75" thickBot="1">
      <c r="G74" s="152"/>
      <c r="H74" s="160"/>
    </row>
    <row r="75" spans="7:9" ht="15.75" thickBot="1">
      <c r="G75" s="154"/>
      <c r="H75" s="156"/>
    </row>
    <row r="76" spans="7:9" ht="13.5" thickBot="1">
      <c r="G76" s="153"/>
      <c r="H76" s="156"/>
    </row>
    <row r="77" spans="7:9" ht="15.75" thickBot="1">
      <c r="G77" s="152"/>
      <c r="H77" s="156"/>
    </row>
    <row r="78" spans="7:9" ht="15.75" thickBot="1">
      <c r="G78" s="155"/>
      <c r="H78" s="156"/>
    </row>
    <row r="79" spans="7:9" ht="13.5" thickBot="1">
      <c r="G79" s="156"/>
    </row>
    <row r="80" spans="7:9" ht="15.75" thickBot="1">
      <c r="G80" s="152"/>
    </row>
    <row r="81" spans="7:7" ht="15.75" thickBot="1">
      <c r="G81" s="155"/>
    </row>
    <row r="82" spans="7:7" ht="13.5" thickBot="1">
      <c r="G82" s="156"/>
    </row>
    <row r="84" spans="7:7">
      <c r="G84" s="148"/>
    </row>
    <row r="85" spans="7:7">
      <c r="G85" s="151"/>
    </row>
    <row r="86" spans="7:7">
      <c r="G86" s="159"/>
    </row>
    <row r="87" spans="7:7">
      <c r="G87" s="64"/>
    </row>
    <row r="88" spans="7:7">
      <c r="G88" s="64"/>
    </row>
    <row r="95" spans="7:7">
      <c r="G95" s="35">
        <f>I37*0.4</f>
        <v>26761187901.784</v>
      </c>
    </row>
  </sheetData>
  <mergeCells count="39">
    <mergeCell ref="B2:X2"/>
    <mergeCell ref="B3:X3"/>
    <mergeCell ref="B4:X4"/>
    <mergeCell ref="B6:B8"/>
    <mergeCell ref="C6:C8"/>
    <mergeCell ref="D6:D8"/>
    <mergeCell ref="E6:F7"/>
    <mergeCell ref="G6:H6"/>
    <mergeCell ref="I6:K6"/>
    <mergeCell ref="L6:N6"/>
    <mergeCell ref="O6:P6"/>
    <mergeCell ref="Q6:Q8"/>
    <mergeCell ref="R6:T6"/>
    <mergeCell ref="U6:W6"/>
    <mergeCell ref="X6:X8"/>
    <mergeCell ref="V7:V8"/>
    <mergeCell ref="C30:D30"/>
    <mergeCell ref="O7:O8"/>
    <mergeCell ref="P7:P8"/>
    <mergeCell ref="R7:R8"/>
    <mergeCell ref="S7:S8"/>
    <mergeCell ref="I7:I8"/>
    <mergeCell ref="J7:K8"/>
    <mergeCell ref="L7:L8"/>
    <mergeCell ref="M7:M8"/>
    <mergeCell ref="N7:N8"/>
    <mergeCell ref="W7:W8"/>
    <mergeCell ref="Z12:AA12"/>
    <mergeCell ref="AB12:AC12"/>
    <mergeCell ref="C28:D28"/>
    <mergeCell ref="T7:T8"/>
    <mergeCell ref="U7:U8"/>
    <mergeCell ref="I44:W44"/>
    <mergeCell ref="C32:D32"/>
    <mergeCell ref="C33:D33"/>
    <mergeCell ref="C37:D37"/>
    <mergeCell ref="Q38:X38"/>
    <mergeCell ref="I39:W40"/>
    <mergeCell ref="I43:W43"/>
  </mergeCells>
  <printOptions horizontalCentered="1"/>
  <pageMargins left="0.25" right="0" top="0.3" bottom="0" header="0.34" footer="0.14000000000000001"/>
  <pageSetup paperSize="9" scale="70" orientation="landscape" horizontalDpi="360" verticalDpi="360" r:id="rId1"/>
  <headerFooter alignWithMargins="0"/>
  <rowBreaks count="1" manualBreakCount="1">
    <brk id="44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E21" sqref="E21"/>
    </sheetView>
  </sheetViews>
  <sheetFormatPr defaultRowHeight="12.75"/>
  <cols>
    <col min="1" max="1" width="6.28515625" customWidth="1"/>
    <col min="2" max="2" width="47" customWidth="1"/>
    <col min="3" max="3" width="12.28515625" customWidth="1"/>
    <col min="4" max="4" width="10.42578125" customWidth="1"/>
    <col min="5" max="5" width="19.140625" customWidth="1"/>
  </cols>
  <sheetData>
    <row r="2" spans="1:4" ht="21.75" customHeight="1">
      <c r="A2" s="611" t="s">
        <v>158</v>
      </c>
      <c r="B2" s="611"/>
      <c r="C2" s="611"/>
      <c r="D2" s="611"/>
    </row>
    <row r="4" spans="1:4" ht="21.75" customHeight="1">
      <c r="A4" s="509" t="s">
        <v>159</v>
      </c>
      <c r="B4" s="509" t="s">
        <v>160</v>
      </c>
      <c r="C4" s="509" t="s">
        <v>91</v>
      </c>
      <c r="D4" s="509" t="s">
        <v>161</v>
      </c>
    </row>
    <row r="5" spans="1:4" ht="14.25">
      <c r="A5" s="507">
        <v>1</v>
      </c>
      <c r="B5" s="501" t="s">
        <v>162</v>
      </c>
      <c r="C5" s="503">
        <v>1</v>
      </c>
      <c r="D5" s="504" t="s">
        <v>170</v>
      </c>
    </row>
    <row r="6" spans="1:4" ht="14.25">
      <c r="A6" s="508">
        <v>2</v>
      </c>
      <c r="B6" s="502" t="s">
        <v>163</v>
      </c>
      <c r="C6" s="500">
        <v>1</v>
      </c>
      <c r="D6" s="505" t="s">
        <v>170</v>
      </c>
    </row>
    <row r="7" spans="1:4" ht="14.25">
      <c r="A7" s="508">
        <v>3</v>
      </c>
      <c r="B7" s="502" t="s">
        <v>164</v>
      </c>
      <c r="C7" s="500">
        <v>1</v>
      </c>
      <c r="D7" s="505" t="s">
        <v>170</v>
      </c>
    </row>
    <row r="8" spans="1:4" ht="14.25">
      <c r="A8" s="508">
        <v>4</v>
      </c>
      <c r="B8" s="502" t="s">
        <v>165</v>
      </c>
      <c r="C8" s="500">
        <v>1</v>
      </c>
      <c r="D8" s="505" t="s">
        <v>170</v>
      </c>
    </row>
    <row r="9" spans="1:4" ht="14.25">
      <c r="A9" s="508">
        <v>5</v>
      </c>
      <c r="B9" s="502" t="s">
        <v>166</v>
      </c>
      <c r="C9" s="500">
        <v>1</v>
      </c>
      <c r="D9" s="505" t="s">
        <v>171</v>
      </c>
    </row>
    <row r="10" spans="1:4" ht="14.25">
      <c r="A10" s="508">
        <v>6</v>
      </c>
      <c r="B10" s="502" t="s">
        <v>167</v>
      </c>
      <c r="C10" s="500">
        <v>1</v>
      </c>
      <c r="D10" s="505" t="s">
        <v>170</v>
      </c>
    </row>
    <row r="11" spans="1:4" ht="14.25" customHeight="1">
      <c r="A11" s="508">
        <v>7</v>
      </c>
      <c r="B11" s="609" t="s">
        <v>168</v>
      </c>
      <c r="C11" s="500">
        <v>1</v>
      </c>
      <c r="D11" s="505" t="s">
        <v>170</v>
      </c>
    </row>
    <row r="12" spans="1:4" ht="14.25">
      <c r="A12" s="508"/>
      <c r="B12" s="610"/>
      <c r="C12" s="500"/>
      <c r="D12" s="506"/>
    </row>
    <row r="13" spans="1:4" ht="14.25">
      <c r="A13" s="508">
        <v>8</v>
      </c>
      <c r="B13" s="502" t="s">
        <v>169</v>
      </c>
      <c r="C13" s="500">
        <v>1</v>
      </c>
      <c r="D13" s="505" t="s">
        <v>172</v>
      </c>
    </row>
    <row r="14" spans="1:4">
      <c r="A14" s="494"/>
      <c r="B14" s="495"/>
      <c r="C14" s="495"/>
      <c r="D14" s="496"/>
    </row>
    <row r="15" spans="1:4">
      <c r="A15" s="494"/>
      <c r="B15" s="495"/>
      <c r="C15" s="495"/>
      <c r="D15" s="496"/>
    </row>
    <row r="16" spans="1:4">
      <c r="A16" s="494"/>
      <c r="B16" s="495"/>
      <c r="C16" s="495"/>
      <c r="D16" s="496"/>
    </row>
    <row r="17" spans="1:4">
      <c r="A17" s="497"/>
      <c r="B17" s="498"/>
      <c r="C17" s="498"/>
      <c r="D17" s="499"/>
    </row>
  </sheetData>
  <mergeCells count="2">
    <mergeCell ref="B11:B12"/>
    <mergeCell ref="A2:D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Paket PRIM 2019</vt:lpstr>
      <vt:lpstr>Realisasi </vt:lpstr>
      <vt:lpstr>Real UM&amp;MC (per-bulan) </vt:lpstr>
      <vt:lpstr>Sheet3</vt:lpstr>
      <vt:lpstr>Sheet1</vt:lpstr>
      <vt:lpstr>Sheet2</vt:lpstr>
      <vt:lpstr>Realisasi  (2)</vt:lpstr>
      <vt:lpstr>Sheet4</vt:lpstr>
      <vt:lpstr>'Paket PRIM 2019'!Print_Area</vt:lpstr>
      <vt:lpstr>'Real UM&amp;MC (per-bulan) '!Print_Area</vt:lpstr>
      <vt:lpstr>'Realisasi '!Print_Area</vt:lpstr>
      <vt:lpstr>'Realisasi  (2)'!Print_Area</vt:lpstr>
      <vt:lpstr>'Paket PRIM 2019'!Print_Titles</vt:lpstr>
      <vt:lpstr>'Real UM&amp;MC (per-bulan) '!Print_Titles</vt:lpstr>
      <vt:lpstr>'Realisasi '!Print_Titles</vt:lpstr>
      <vt:lpstr>'Realisasi  (2)'!Print_Titles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Dunia Maya</cp:lastModifiedBy>
  <cp:lastPrinted>2019-10-14T04:49:52Z</cp:lastPrinted>
  <dcterms:created xsi:type="dcterms:W3CDTF">2006-06-19T04:04:06Z</dcterms:created>
  <dcterms:modified xsi:type="dcterms:W3CDTF">2019-10-14T04:50:24Z</dcterms:modified>
</cp:coreProperties>
</file>